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19038B9F-1BB9-462D-BA7C-4AFD93C4A895}"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160" i="2" l="1"/>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<sst xmlns="http://schemas.openxmlformats.org/spreadsheetml/2006/main" count="36885" uniqueCount="9983">
  <si>
    <t>Índice onomástico anual · Gacetas oficiales de 1817</t>
  </si>
  <si>
    <t>Del 1 de enero al 31 de diciembre de 1817 · Gaceta de Madrid</t>
  </si>
  <si>
    <t>Aviso: índice generado a partir del OCR de facsímiles históricos. Las grafías y lecturas dudosas deben cotejarse con la página enlazada.</t>
  </si>
  <si>
    <t>4059 menciones · 156 archivos oficiales · 1350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</si>
  <si>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</si>
  <si>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</si>
  <si>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</si>
  <si>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</si>
  <si>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</si>
  <si>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</si>
  <si>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</si>
  <si>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</si>
  <si>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</si>
  <si>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</si>
  <si>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</si>
  <si>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A'mazan, Joaquín</t>
  </si>
  <si>
    <t>Joaquín A'mazan</t>
  </si>
  <si>
    <t>Nombramiento o servicio público</t>
  </si>
  <si>
    <t>España</t>
  </si>
  <si>
    <t>Gaceta de Madrid n.º 60</t>
  </si>
  <si>
    <t>PDF p. 7</t>
  </si>
  <si>
    <t>Nombre detectado automáticamente; cotejar si se va a citar</t>
  </si>
  <si>
    <t>…ser desatendidos en España, en donde se inventó el arte de enseñarles, y donde deben darse por tantos títu los egemplos de caridad y amor al próximo. En virtud de providencia del Sr. D. Joaquín A'mazan, del Consejo de S. M.,, teniente corregidor de esta villa., se venden dos casas pertenecientes al concurso d¿ acreedores de Alfonso Gil , sitas en la calle de S. Bernardo y de Zurita, barrios di S. Lorenzo, distinguidas ambas con el núm. 9 de la manz. 20, y t…</t>
  </si>
  <si>
    <t>Lectura OCR</t>
  </si>
  <si>
    <t>A, Josef Manuel de</t>
  </si>
  <si>
    <t>Josef Manuel de A</t>
  </si>
  <si>
    <t>Gaceta de Madrid n.º 113</t>
  </si>
  <si>
    <t>Lectura automática dudosa; cotejar el facsímil</t>
  </si>
  <si>
    <t>…acer para su bien y felicidad. Lo comunico á V. de Real orden para su noticia, publicación y cumplimiento. Madrid 12 de Seriembre de 1817. En atención á los méritos y servicios de D. Josef Manuel de A r joña, fis cal togado del Consejo supremo de Almirantazgo, se ha servido el Rey nom brarle corregidor de esta heroica villaEl 16 del corriente se cubrió á presencia de SS. MM. como grande de España de primera clase el Exorno. Sr. Rmo. P. M. P'r. Josef Garfia…</t>
  </si>
  <si>
    <t>Revisar OCR</t>
  </si>
  <si>
    <t>A, Jpaquin de</t>
  </si>
  <si>
    <t>Jpaquin de A</t>
  </si>
  <si>
    <t>Gaceta de Madrid n.º 146</t>
  </si>
  <si>
    <t>…y 31 de Enero de 1809. Quien quisiere hacer postura á dicha finca acuda ante dicho señor juez y escribanía. En virtud de decreto d&amp;.k&gt;s.Señores del Consejo, y 4&gt;rovide9eia.d?l$r._.D. Jpaquin de A.mazan, del Coosejp; de 5. M,, primer teniente corregidor de esta muy</t>
  </si>
  <si>
    <t>Abad, Dionisio de</t>
  </si>
  <si>
    <t>Dionisio de Abad</t>
  </si>
  <si>
    <t>Operaciones o servicios militares</t>
  </si>
  <si>
    <t>Noticias militares</t>
  </si>
  <si>
    <t>Gaceta de Madrid n.º 52</t>
  </si>
  <si>
    <t>PDF p. 5</t>
  </si>
  <si>
    <t>…l. En la tarde de 15 del presente pasaron á felicitar á SS. MM. y AA., á nombre de la villa de Estadilla, en Aragón , por sus felices enlaces , el regidor decano de la dicha villa D. Dionisio de Abad , acompañado del Excelentísi mo Sr. D. Josef de Palafox, capitán general de ios Reales egércitos, y del M. I. Sr. D. Antonio Allue, obispo electo de Gerona, capellán de honor de S, M., y penitenciario de su Real capilla; de los cuales el primero tuvo el honor…</t>
  </si>
  <si>
    <t>Abad, Joseí</t>
  </si>
  <si>
    <t>Joseí Abad</t>
  </si>
  <si>
    <t>Mención en noticia o disposición</t>
  </si>
  <si>
    <t>Noticias y disposiciones</t>
  </si>
  <si>
    <t>Gaceta de Madrid n.º 101</t>
  </si>
  <si>
    <t>…D. Josef María Loureiro, D. Manuel María Vicario , Don Cosme Arias, D. Josef Alonso, D. Benito Pereira, D. Florencio Pereira, D. Juan Francisco Rodríguez, D. Josef Vicente Veiga, D. Joseí Abad y D. Gregorio Cancela. En trigonometría plana los mismos Martínez , Lourei ro, Galceran, Vicario, Arias, Pujadas, Cancela , D. Benito y D. Florencio Pereira, D. Josef Perez, D. Ignacio Palacios y D. Juan Pablo Rodríguez» En trigonometría esférica el mismo Rodríguez, Perez, Pujadas…</t>
  </si>
  <si>
    <t>Abadía, Francisco Antonio</t>
  </si>
  <si>
    <t>Francisco Antonio Abadía</t>
  </si>
  <si>
    <t>Actividad económica o mercantil</t>
  </si>
  <si>
    <t>Gaceta de Madrid n.º 138</t>
  </si>
  <si>
    <t>1248</t>
  </si>
  <si>
    <t>…án, los Sres. Alzueta y Beratarrechea, D. Rafael Rodríguez, D. Juan de Dios Elias, los Sres. Bohe, hermanos y compa ñía, D. Mariano de Urbieia, D. Josef Uhicon, D. Ignacio Suarez, D. Francisco Antonio Abadía, D. Mariano Gil y D. Josef Vilar, últimos tenedores de 32 vales Reales, 15 de ellos de 150 pesos, creación de Enero de 1808, con los números 231689, 245110, 252506, 253818, 255204, 264499, 269131,273684, 283688, 287576, 288287, 292535, 307906, 32 1387 y 33847…</t>
  </si>
  <si>
    <t>Abadía, Pedro</t>
  </si>
  <si>
    <t>Pedro Abadía</t>
  </si>
  <si>
    <t>Publicación o actividad intelectual</t>
  </si>
  <si>
    <t>Gaceta de Madrid n.º 33</t>
  </si>
  <si>
    <t>PDF p. 6</t>
  </si>
  <si>
    <t>…respectivamen te han adquirido á ella. Me complace especialmente en distinguir y patroci nar al primer agente y socio D. Francisco Wille; á los generosos habitado res principales D. Pedro Abadía y D. Josef Arismendi; á los compartes y apoderados de estos D. Luis de Landavere y D. Tomas Gallegos; y final mente al maestro Bul y todos los demas concurrentes á la grande obra que V. S. me apunta con recomendación. V. S. mismo ha añadido un nuevo tí tulo á los muchos precedent…</t>
  </si>
  <si>
    <t>…nes corresponda. La que insertamos á V. para su gobierno y demas efectos que previene en la parte que le toca. Madrid 15 de Octubre de 1817. S. M. se ha servido conceder permiso i D. Pedro Abadía, del comercio de Lima, para que pueda usar la condecoración de la orden de Sta. Ana de segunda clase con que le ha condecorado el Emperador de todas las Rusias. Habiéndose dignado S. M. autorizar al juez conservador de su Real im prenta, y fiscal togado de Co…</t>
  </si>
  <si>
    <t>Abarrátegui, Santiago</t>
  </si>
  <si>
    <t>Santiago Abarrátegui</t>
  </si>
  <si>
    <t>Gaceta de Madrid n.º 31</t>
  </si>
  <si>
    <t>287</t>
  </si>
  <si>
    <t>…e á ellos; siendo su soberana voluntad que por lo que toca á esta Pro vincia siga, por ahora, con la liquidación de la referida contribución extraor dinaria el Contador de Propios D. Santiago Abarrátegui, en consideración á los conocimientos y luces que puede suministrar en orden á los atrasos: y por último, conformándose S. M. con el medio propuesto por el Consejo so bre los débitos de los pueblos por el dos y diez por ciento de Propios, se ha servido resolv…</t>
  </si>
  <si>
    <t>Abello, Dionisio Sierra y</t>
  </si>
  <si>
    <t>Dionisio Sierra y Abello</t>
  </si>
  <si>
    <t>Gaceta de Madrid n.º 3</t>
  </si>
  <si>
    <t>24</t>
  </si>
  <si>
    <t>…avas y Loigorri, D. Josef Navarro y Alarcon , D. Agustín Blake y Tovar, D. Josef Romero Dorado, D. Manuel Vega y Romero, D. Al varo de Navia y Osorio, D. Juan de ia Lastra y Mata, D. Dionisio Sierra y Abello, D. Antonio Jácome y Villena, D. Antonio Fernandez Pinzón, Don Antonio de los Reyes y Céspedes, D. Josef García Merlo, y á los artilleros disti nguidos D. Josef Torrecilla, D. Adriano Torrecilla y D. Josef de Puente. Se vende una casa sita en la calle de Sant…</t>
  </si>
  <si>
    <t>Aberdeen</t>
  </si>
  <si>
    <t>Gaceta de Madrid n.º 111</t>
  </si>
  <si>
    <t>PDF p. 1</t>
  </si>
  <si>
    <t>…tes conferencias con el conde de Capod’Istria.__ Hace algún tiempo que se halla en esta ciudad el primer secre tario de la legación inglesa en Viena sir Roberto Gordon, hermano de lord Aberdeen. Entre las personas distinguidas que se hallan aqui de algún tiempo á esta parte se nota el Príncipe de Ruífo,ministro deNápoles en la corte de Viena. ALEMANIA. Francfort 24 de Agosto. El Emperador de Rusia ha expedido varios decretos, cuyo objeto es fo menta…</t>
  </si>
  <si>
    <t>Abreu, Manuel de</t>
  </si>
  <si>
    <t>Manuel de Abreu</t>
  </si>
  <si>
    <t>Gaceta de Madrid n.º 141</t>
  </si>
  <si>
    <t>PDF p. 8</t>
  </si>
  <si>
    <t>…n de lo precioso de sus producciones, tan singulares como estimables en toda Europa y América." El Rey nuestro Señor se ha dignado admitir con agrado la siguiente ex posición, que D. Manuel de Abreu, vecino del partido de S. Marcos, en la isla de Cuba, le dirigió con fecha 24 de Agosto último: „ Señor: La calidad de simple labrador, y el mas humilde de los vasa llos de V. M., no me pueden privar de la mas lisonjera satisfacción que he experimentado en mi…</t>
  </si>
  <si>
    <t>Abreu, Manuela Perez de</t>
  </si>
  <si>
    <t>Manuela Perez de Abreu</t>
  </si>
  <si>
    <t>Gaceta de Madrid n.º 145</t>
  </si>
  <si>
    <t>PDF p. 12</t>
  </si>
  <si>
    <t>…rtificación de armas de los apellidos de López, Gómez, Ruizo, Morano, Perez , Dominguez , López y Alvarez, perteneciente á D. Antonio López Gómez, natural de Cádiz, y de su esposa Doña Manuela Perez de Abreu, natural de la ciudad de S. Felipe y Santiago del Bejucar,por sí y en nombre de sus hijos legítimos D. Josef, D. Lorenzo, D. Antonio, Doña María de la Concepción, Doña Gertrudis, Doña María de Jesús, D. Francisco,D. Juan, D. Manuel y Dou Ramón López Perez, na…</t>
  </si>
  <si>
    <t>Abreu, Rafael de</t>
  </si>
  <si>
    <t>Rafael de Abreu</t>
  </si>
  <si>
    <t>Gaceta de Madrid n.º 1</t>
  </si>
  <si>
    <t>4</t>
  </si>
  <si>
    <t>…aprobación en gramática y retórica. Por la mañana se dió principio por la traducción, aná lisis y explicación del artificio retórico en una oración de Cicerón, que el cor regidor D. Rafael de Abreu y del Moral propuso al primer examinando: los restantes tradujeron al castellano el Virgilio y el Ovidio, manifestando en ambos cuanto debe saberse del arte métrica, haciendo esto en cuantos pasages se les señalaron en la colección de autores selectos , y res…</t>
  </si>
  <si>
    <t>Gaceta de Madrid n.º 96</t>
  </si>
  <si>
    <t>…s premios se han de di rigir francas de portes al Dr. D. Rafael Steva, primer secretario de la aca demia , y han de estar escritas en español ó en latín. Huete 26 de Julio. El Dr. D. Rafael de Abreu y del Moral, corregidor de esta ciudad y partido , en cumplimiento de las superiores órdenes del Real y supremo Consejo de Castilla para el restablecimiento de la capilla de la Real cárcel de esta ciudad á fin de que los domingos y dias festivos se celebrase…</t>
  </si>
  <si>
    <t>Abrial, Domingo</t>
  </si>
  <si>
    <t>Domingo Abrial</t>
  </si>
  <si>
    <t>Gaceta de Madrid n.º 2</t>
  </si>
  <si>
    <t>…. Breve noticia de los principales adornos puestos en varias casas de esta corte el día de la entrada en ella de la Reina nuestra Señora y Serma. Sra. Infanta, puesta en verso por D. Domingo Abrial. Véndese á 10 cuartos á beneficio de los pobres enfermos del hospital General en el cajón de la rifa de las alhajas, calle de las Car retas; en la librería de Villa, plazuela de Sto. Domingo; de Sánchez, calle de To ledo, y en la sombrerería de la calle de Al…</t>
  </si>
  <si>
    <t>Acereda, Félix Josef</t>
  </si>
  <si>
    <t>Félix Josef Acereda</t>
  </si>
  <si>
    <t>Fallecimiento, herencia o memoria</t>
  </si>
  <si>
    <t>Gaceta de Madrid n.º 62</t>
  </si>
  <si>
    <t>…iástico y convento de S. Francisco, sito en sus extramuros, por el salario de 200 fanegas de trigo de buena calidad. Los que qui sieren pretenderla podrán dirigir sus memoriales á D. Félix Josef Acereda, escriba no de su ayuntamiento, hasta el 31 del corriente, pasado el cual no se admitirán, y el partido se proveerá el 15 de Junio siguiente. Se halla vacante la plaza de médico de la villa de Valmaseda, en Vizcaya: su dotación consiste en 6$ rs. anuales, pag…</t>
  </si>
  <si>
    <t>Acevedo, Alfonso de</t>
  </si>
  <si>
    <t>Alfonso de Acevedo</t>
  </si>
  <si>
    <t>Gaceta de Madrid n.º 81</t>
  </si>
  <si>
    <t>724</t>
  </si>
  <si>
    <t>…idos que pasado dicho término sin haberlo hecho les parará el perjuicio que haja lugar. Ensayo acerca de la tortura, ó cuestión del tormento, publicado en latín en 177o por el Dr. D. Alfonso de Acevedo, y traducido en castellano por D. C. G. O. Se hallará en 8.° á la rústica á 10 rs. en la librería de Calleja, calle de las Carretas. A este curioso y eruditísimo escrito precede un prólogo del traductor, en que se da noticia de la segunda censura que sufrió a…</t>
  </si>
  <si>
    <t>Acevedo, Felipe Perez</t>
  </si>
  <si>
    <t>Felipe Perez Acevedo</t>
  </si>
  <si>
    <t>Gaceta de Madrid n.º 21</t>
  </si>
  <si>
    <t>…ianza y car go de los consulados de Cádiz y la Coruna, para la mas breve y segura circulación en el comercio: por el capítan de navio de la Real armada del departamento del Ferrol D. Felipe Perez Acevedo; un tomo en 4.0 Se hallará en Madrid en la libre ría de Orea, calle de la Montera; en Cádiz en Ja de Pajares; en Oviedo en ia de García; en la Coruña en la de Soto; en Lugo en la de Fernandez, y en Santiago en la de Rey y Romero, á 10 rs. en rústica. Jesús mo…</t>
  </si>
  <si>
    <t>Acha, Josef de</t>
  </si>
  <si>
    <t>Josef de Acha</t>
  </si>
  <si>
    <t>Gaceta de Madrid n.º 143</t>
  </si>
  <si>
    <t>PDF p. 11</t>
  </si>
  <si>
    <t>…ran á D. Diego Cisneros Valencia: para la de Villanueva del Fres no á D. Lucas Vázquez Garcés: para la de Monremayor, en Castilla, á D. Josef Urbano Sancho; y para la de Bodonal á D. Josef de Acha. El Rey nuestro Señor se ha servido conceder á D. Josef Luaces y Pru no, maestrante de Ronda, su Real permiso para que pueda usar de la con decoración de la Vandé con que se ha servido honrarle S. M. Cristianísima. Asimismo se ha dignado S. M. conceder su Rea…</t>
  </si>
  <si>
    <t>Acosta, Antonio</t>
  </si>
  <si>
    <t>Antonio Acosta</t>
  </si>
  <si>
    <t>Gaceta de Madrid n.º 66</t>
  </si>
  <si>
    <t>…istiesen Ja ropa de los reos aprehendidos por estar uniformados con sacos de lana pintados con vuelta y cuello de paño azul; y al mando del subteniente de realistas de Zacualtipan D. Antonio Acosta los hice internar por aquellos espinosos bosques hasta tomar la retaguardia de la madriguera con el objeto de que luego que me descubriesen de frente y se fugaran pudiese hacer presa la partida disfrazada. Efectivamente el cielo protegió mis planes, porque se…</t>
  </si>
  <si>
    <t>Acuña, Salvador</t>
  </si>
  <si>
    <t>Salvador Acuña</t>
  </si>
  <si>
    <t>Gaceta de Madrid n.º 28</t>
  </si>
  <si>
    <t>…al respetable clero, cabildo de beneficiados y personas príncicipales del pueblo. Asi se verificó; y en los dias 9 y 10 de Diciembre último presentó en las salas consistoriales el catedrático D. Salvador Acuña á sus alumnos, niños de seis meses de enseñanza, divididos en tres clases. Abrió el acto D. Isidoro Preciado, niño de 12 años, con una oración latina, que recitó de memoria. En seguida los de la primera clase contestaron á cuan tas preguntas les hicieron sobr…</t>
  </si>
  <si>
    <t>Adan, Josef</t>
  </si>
  <si>
    <t>Josef Adan</t>
  </si>
  <si>
    <t>Gaceta de Madrid n.º 26</t>
  </si>
  <si>
    <t>241</t>
  </si>
  <si>
    <t>…estos, de su reducción hasta las regías de compañía; habiéndose hecho dig nos del aplauso y de que se Ies adjudícase el premio D.Pedro Pacheco, Don Josef Iglesia , D. Josef Cala, D. Josef Adan, D. Manuel Huertas, D. Tosef Ro mero, D. Josef Villanueva, D. Francisco Capulino, D. Juan Romero, D. Vicente Brete, D. Nicolás Moreno, y entre estos muy en particular Don Josef Cotera, que entrando en esta academia á la edad de seis años sin cono cer el alfab…</t>
  </si>
  <si>
    <t>Agreda, Simón de</t>
  </si>
  <si>
    <t>Simón de Agreda</t>
  </si>
  <si>
    <t>Gaceta de Madrid n.º 112</t>
  </si>
  <si>
    <t>…su afecto al exponente por los servicios que ha con traído en defensa de V. M. y la patria, le ha hecho la expresión para sí de 10® rs. que ha puesto á su disposición en poder de D. Simón de Agreda, de Cádiz, según aviso de este, fecha 2 del corriente. Esta prueba irrefragable de entusiasmo por V. M. y la patria exige dé á este digno religioso otra que le sea no menos satisfactoria que ha sido al suplicante la suya; y creyendo lo Será la distribución de…</t>
  </si>
  <si>
    <t>Aguayo, Miguel</t>
  </si>
  <si>
    <t>Miguel Aguayo</t>
  </si>
  <si>
    <t>Gaceta de Madrid n.º 100</t>
  </si>
  <si>
    <t>…al subteniente de Extremadura D. Josef Quiñones, por haber dirigido la fortificación de mi lí nea bajo el continuo fuego de los enemigos, y ai cadete de cazadores de Ex tremadura D. Miguel Aguayo, que en este lance acreditó- ser el primer sol dado de la compañía. Dígnese pues V. E. de admitir la distinción detallada en obsequio de tan glorioso suceso, experimentando ya el resultado de la presentación de va rios que recurren por la gracia del indulte.…</t>
  </si>
  <si>
    <t>…Tampieo; de te nientes á los subtenientes D. Miguel Vitini y D. Josef Quiñones, de Extre madura, y D. Nicolás Castillo, de Ordenes Militares; alférez vivo ai cadete de Extremadura D. Miguel Aguayo, y al asistente del capitán Carrizo y artillero de Perote Francisco Martin plaza de sargenta en sus respectivos cuerpos. Ademas ha dispuesto S. E. que á todos los individuos de esta división les. sírva de mérito particular el contraído en ella para- sus ulter…</t>
  </si>
  <si>
    <t>Agüero, Josef Joaquín</t>
  </si>
  <si>
    <t>Josef Joaquín Agüero</t>
  </si>
  <si>
    <t>Actuación administrativa o judicial</t>
  </si>
  <si>
    <t>Gaceta de Madrid n.º 47</t>
  </si>
  <si>
    <t>…comendador en la orden de Isabel la Católica, para que pueda usar la cruz de la flor de Lis con que le ha agraciado S. M* Cristianísima. El mismo Real permiso ha concedido S. M. á D. Josef Joaquín Agüero, abogado de la Real audiencia de Puerto-Príncipe, en la isla de Cuba, y au ditor de Marina de su distrito, atendiendo á su mérito y circunstancias.</t>
  </si>
  <si>
    <t>Agüero, Miguel de Navedo y</t>
  </si>
  <si>
    <t>Miguel de Navedo y Agüero</t>
  </si>
  <si>
    <t>Gaceta de Madrid n.º 9</t>
  </si>
  <si>
    <t>PDF p. 4</t>
  </si>
  <si>
    <t>…dos y preguntados detenidamente por algunos de los concurrentes, y con particularidad por el Lie. D. Fulgencio Marcelo Meló, alcalde mayor por S. M. en dicha villa , y por el Lie. D. Miguel de Navedo y Agüero, ar cipreste, cura vicario en ella , todos los niños á porfia manifestaron suficien temente dar las pruebas mas completas de sus conocidos adelantamientos, á pesar de sus cortas edades; distinguiéndose sobresalientemente cuatro de ellos, que lo fueron Justo A…</t>
  </si>
  <si>
    <t>Agui, María Manuela</t>
  </si>
  <si>
    <t>María Manuela Agui</t>
  </si>
  <si>
    <t>Gaceta de Madrid n.º 142</t>
  </si>
  <si>
    <t>1288</t>
  </si>
  <si>
    <t>…ión que otorgó en la villa de Villanueva y Geltrú , corregimiento libre del partido de Tarragona, en 7 de Mayo de 1813 , en la que dejó por usufructuaria de sus bienes á su esposa Doña María Manuela Agui lera, sin que exprese quien deba ser heredero en propiedad verificado el fallecímiento de esta, para que en el término de 30 dias, contados desde la publicación del presente, que por tercero se les concede, y el último perentorio, acudan á dicho juzgado por l…</t>
  </si>
  <si>
    <t>Aguilar, Pedro</t>
  </si>
  <si>
    <t>Pedro Aguilar</t>
  </si>
  <si>
    <t>Gaceta de Madrid n.º 63</t>
  </si>
  <si>
    <t>…illo de Jagua , de pendiente de la plaza de la Havana , á D. Joaquin Hurruitiner, capitán del regimiento infantería de Cuba; y Ja tenencia de Rey de la plaza de Panamá al teniente coronel D. Pedro Aguilar, gobernador que era de la provincia de Darien del Sur. Por Real resolución, á consulta de la Cámara , se ha servido S.. M. con ceder la merced de título de Castilla para sí, sus hijos, herederos y suceso res perpetuamente á D. Juan Antonio Cobo Calleja, comis…</t>
  </si>
  <si>
    <t>Aguilera</t>
  </si>
  <si>
    <t>Gaceta de Madrid n.º 93</t>
  </si>
  <si>
    <t>825</t>
  </si>
  <si>
    <t>825 pero no cree se atreva á atacarlo. La perdida deí coronel Aguilera pasa de 20o muertos, entre ellos 14 artilleros con su comandante, siendo crecido el número de heridos.** Uavana 4 de Mayo. Las noticias que se han recibido últimamente de Nueva-España son su mamente favorables. Los insurgentes se presentan en grandes cuadrill…</t>
  </si>
  <si>
    <t>Aguilera, Francisco Xavier de</t>
  </si>
  <si>
    <t>Francisco Xavier de Aguilera</t>
  </si>
  <si>
    <t>924</t>
  </si>
  <si>
    <t>…mbre por las armas del Rey nuestro Señor contra el infame caudillo Manuel Asensio Padilla en el partido de la Laguna y punto del Villar , donde perdió la vida á manos del valiente coronel D. Francisco Xavier de Aguilera, pagando asi el cúmulo horroroso de sus sacrilegos atentados; ha recibido el gobernador militar del Potosí el siguiente parte, dado con fecha de 9 de este mes desde Tarabuco por el mariscal de campo D. Miguel Tacón, comandante general de la expedición de esta…</t>
  </si>
  <si>
    <t>Aguirre</t>
  </si>
  <si>
    <t>Gaceta de Madrid n.º 6</t>
  </si>
  <si>
    <t>…, á que ha bla sido elevado por ios farsantes Rayones en premio deque había desprecia do el indulto que á nombre del legítimo Gobierno se le había ofrecido cuan do la división del Sr. Aguirre aprehendió á su muger y ihmilLa.</t>
  </si>
  <si>
    <t>Gaceta de Madrid n.º 65</t>
  </si>
  <si>
    <t>…” El Excmo. Sr. virey en vista de la recomendable conducta del virtuoso padre de la doncella á quien quería robar el rebelde González, ha contesta do entre otras cosas al teniente coronel Aguirre lo que sigue: ,,Por último contemplando muy laudable la acción del individuo de Ma ravatio, muerto á minos de los rebeldes por defender el honor de su hija, y deseando que se honre la memoria de este valeroso y benemérito vecino, he dispuesto se inserte dicho…</t>
  </si>
  <si>
    <t>Aguirre, Benito</t>
  </si>
  <si>
    <t>Benito Aguirre</t>
  </si>
  <si>
    <t>…la partida que mandaba. „Rt*comiendo á V. E. la actividad del expresado oficial, ai capitán gra duado D. Juan María del Valle, que mandaba la partida que logró esta ven taja? y al teniente D. Benito Aguirre que le acompañó. „Dios guarde á V. E. muchos años. Ixtlahuaca Marzo 14 de 1817.= Excmo. Sr. = Matias Martin y Aguirre. = Excmo. Sr. virey D. Juan Ruiz de Apodaca.” Parte del capitán ZX 'Valentín Amador, „Impuesto de hallarse en el pueblo de Sta. Cruz la gavil…</t>
  </si>
  <si>
    <t>Aguirre, Manuel Francisco</t>
  </si>
  <si>
    <t>Manuel Francisco Aguirre</t>
  </si>
  <si>
    <t>Gaceta de Madrid n.º 123</t>
  </si>
  <si>
    <t>205577» 2o8/42 t 112*73* D* Josef de Trasvina, D. Gregorio Sánchez, viuda de ísern é hijo, D. Pedro de Castro, Sres. Lavin y hermano, D. Manuel Ramón de Viilachica, D. Manuel Francisco Aguirre é hijos, D. Vicente Carrasco y Fominaya, Doña Clara Ambite, Juan Antonio Morera, D. Josef Sala y Cam, D. Ig nacio de Arellana, D. Francisco Bolart y Goma, D. Josef Bruquera y Castell, Don Francisco Argel é hijos, y D. Lorenzo Carballo de Ledesma, para que en…</t>
  </si>
  <si>
    <t>Aguirre, Matías Martin y</t>
  </si>
  <si>
    <t>Matías Martin y Aguirre</t>
  </si>
  <si>
    <t>Gaceta de Madrid n.º 54</t>
  </si>
  <si>
    <t>…ación de mas de 150 rebeldes á in dulto, asegurando el reposo y propiedades de aquellos fieles vasallos con va rios puntos militares fortificados. Todo lo ha egecurado el teniente coronel Don Matías Martin y Aguirre, cuyos sucesos han producido la libre y mas expe dita comunicación entre todos los puntos mas principales del reino, la liber tad entera de sus costas, establecimiento de guarniciones en todos los puertos de ellas, con la apreciable circunstancia de haberse p…</t>
  </si>
  <si>
    <t>…Emperador de Haiti Cristóbal ha matado de un pistoletazo á uno de sus secretarios de Estado que estaba sentado con él á la mesa. ESPAÑA. México 16 de Diciembre. Parte del teniente coronel D. Matías Martin y Aguirre. jjExcmo. Sr.. Ei 25 del corriente llego a esta hacienda, en cumplimiento de mis prevenciones, el capitán D. Onofre Valiente, conduciendo á la santí sima Virgen de Zitacuaro, que se hallaba en Valladolid, para cuyo efecto tenia dada orden el antecesor de V. E…</t>
  </si>
  <si>
    <t>…os guarde á vmd. muchos años. Cerro de Tlacuilo Febrero 20 de 1817. ss Josef Antonio Perez del Callejo.= Sr. teniente coronel D. Fran cisco de las Piedras.” IXTLAHUACA. Partes del coronel D. Matías Martin y Aguirre. i.° „ Excmo. Sr.: Con oficio de 14 del corriente me ha dirigido el te niente coronel graduado D. Marcos Rodríguez, comandante de Maravatio, el adjunto parte del capitán del regimiento de infantería fijo de México Don Vicente Filisola, que elevo á las superio…</t>
  </si>
  <si>
    <t>…tades que V. S. me ha conce dido Jes daré; y le avisaré de todo para su inteligencia. „Dios guarde á V. S. muchos años. Tejupiico Febrero 15 de 1817.= Juan Valentín Amador. =;’Sr. coronel D. Matías Martin y Aguirre.” Cádiz 11 de Noviembre. Deseoso el capitán retirado del Real cuerpo de Artillería D. Tomas de Sisto, socio de número de la Real sociedad económica de Cádiz, de realizar las intenciones de esta corporación patriótica, empeñada dias há en conveneersede un modo…</t>
  </si>
  <si>
    <t>Agus</t>
  </si>
  <si>
    <t>Gaceta de Madrid n.º 149</t>
  </si>
  <si>
    <t>…de Buonaparte, terminada por la batalla de Mont-saint-Jean, llamada también de Waterloo, y de la Beíle Aliance, que escribió en francés un testigo ocular, y tradujo al castellano D. Agus tín Bené, con arreglo á la cuarta edición publicada en París en 1816. Estra obra compuesta por un oficial de conocido mérito que presenció toda la campaña, y corregida después con arreglo á las mejores observaciones que se han publicado en Francia é Inglaterr…</t>
  </si>
  <si>
    <t>Gaceta de Madrid n.º 156</t>
  </si>
  <si>
    <t>…ad y pausa: empezaron á incendiar y robar , lo que conseguirían hasta su fin , si no hubiera determinado saliesen cinco partidas, la una por el sur, al mando del capitán de Celaya D. Agus tín Barros con el teniente D. Juan Canalizo y 30 infantes, por el norte al subteniente D. Josef María García con 20, por el oriente al subteniente Don Vicente Canalizo con 8 , por el poniente al teniente D. Manuel de Ja Llata con D. Manuel y D. Miguel Vázquez…</t>
  </si>
  <si>
    <t>Agustín, Félix</t>
  </si>
  <si>
    <t>Félix Agustín</t>
  </si>
  <si>
    <t>Gaceta de Madrid n.º 36</t>
  </si>
  <si>
    <t>…e la Dirección general de Rentas. Por el Ministerio de Hacienda se ha comunicado á esta Dirección general la Real orden siguiente: ,, Habiendo dado cuenta al Rey del expediente de D. Félix Agustín, nombrado Depositario de Rentas del Partido de Villanueva de los Infantes, en la Provincia de la Mancha, quien fue suspendido de su destino por no haberle afianzado competentemente; se ha servido S. M. resolver que sola mente se le abone el sueldo entero de l…</t>
  </si>
  <si>
    <t>Ahedo, Manuel</t>
  </si>
  <si>
    <t>Manuel Ahedo</t>
  </si>
  <si>
    <t>Gaceta de Madrid n.º 11</t>
  </si>
  <si>
    <t>103</t>
  </si>
  <si>
    <t>…s males han causado á la humanidad.” ESPAÑA. México 30 de Mayo* El comandante militar D. Justo Huidobro remite al Excmo. Sr. virey desde Cuernavacas el parte que había recibido de D. Manuel Ahedo , coman dante accidental del destacamento de Haquiltenango, y es como sigue: „Ayer comoá las seis de la mañana tuve aviso por un confidente de que se hallaban los rebeldes en el rancho de Tenanguillo, distante de este punto tres leguas, sin saber en qué númer…</t>
  </si>
  <si>
    <t>Ahumada, Eugenio</t>
  </si>
  <si>
    <t>Eugenio Ahumada</t>
  </si>
  <si>
    <t>Para la junta de acreedores censualistas del concurso de D. Eugenio Ahumada ha señalado el Sr. D. Joaquín de Almazan, del Consejo de S.M., teniente de cor regidor de esta villa, juez que entiende en él, el dia 11 de Mayo próximo, á las nueve de su mañana en su posada; lo que se hace saber á dichos acreedores para que concurran por sí…</t>
  </si>
  <si>
    <t>Aicinena, Josef</t>
  </si>
  <si>
    <t>Josef Aicinena</t>
  </si>
  <si>
    <t>Gaceta de Madrid n.º 107</t>
  </si>
  <si>
    <t>…spo de Santa Fe de Bogotá; á los tenientes generales D. Toribio Montes y D. Juan Henestrosa; al mariscal de campo D. Fer nando Miyares, y al ministro del Consejo supremo de Indias D. Josef Aicinena, Comendadores Al mariscal de campo D. Josef María Jalón; á los brigadieres marques de Sta. Cruz de Rivadulla; D. Pedro de la Cuesta; D. Ciríaco de Llano; D. Juan Josef Olazabal; á D. Juan Hernández de Alba, oidor de la au diencia de Puerto-Príncipe; D. Martin…</t>
  </si>
  <si>
    <t>Aimazan, Joaquín</t>
  </si>
  <si>
    <t>Joaquín Aimazan</t>
  </si>
  <si>
    <t>Gaceta de Madrid n.º 88</t>
  </si>
  <si>
    <t>783</t>
  </si>
  <si>
    <t>…re sí tenga dicha casa, se ha mandado publicar por 15 días mas, señalando el último ,que es el i.° de Agosto pióximo, para su remate, de 12 a una de su mañana, en la audiencia dei Sr. D. Joaquín Aimazan ,teniente corregidor de esta-villa, si se hiciese mejora, para lo cual el que quisiere hacerla acudirá á dicho Sr. juez, por la escribanía del núme ro de D. Cristóbal de Vicuña. Eu virtud de providencia del Sr. D. León de la Cámara Cano, del Consejo de S. M.…</t>
  </si>
  <si>
    <t>Aimazan, Joaquin</t>
  </si>
  <si>
    <t>Joaquin Aimazan</t>
  </si>
  <si>
    <t>Gaceta de Madrid n.º 132</t>
  </si>
  <si>
    <t>…rizo, de caber 4* fanegas, en 1275 rs.; y otra en Valdelacasa, que fue viña, linde con tierra de D. Julián de Toro, en 812 rs. y 17 mrs. Quien quisiere hacer postura acuda ante el Sr. D. Joaquin Aimazan, del Consejo de S. M., y te niente primero de corregidor de esta muy heroica villa , por la escribanía del nú mero que egerce D. Juan Raya; y está señalado para su remate el dia 21 del cor riente en la audiencia de dicho señor i las 12. Se desea saber el para…</t>
  </si>
  <si>
    <t>Aimodovar, Antonio de</t>
  </si>
  <si>
    <t>Antonio de Aimodovar</t>
  </si>
  <si>
    <t>Gaceta de Madrid n.º 115</t>
  </si>
  <si>
    <t>también á la parte moral por medio de un enérgico discurso, escrito por el médico de cámara honorario de S. M. D. Antonio de Aimodovar, y divul gado por las justicias y curas párrocos en el pulpito y confesonario, hacien do conocer por él á los pueblos los horrorosos estragos que ha causado en ellos la peste en diferentes épocas, excitando el odio general contra el contra bando, por cuyo med…</t>
  </si>
  <si>
    <t>Aines, Juan</t>
  </si>
  <si>
    <t>Juan Aines</t>
  </si>
  <si>
    <t>…término sin haberlo hecho se dará la providencia que corresponda, y les parará el perjuicio que haya lugar. Se cita y emplaza por medio de este periódico, y término de 20 dias, á Don Juan Aines, vecino que era de Cádiz el año de 1806, ó quien le represente si hu biese fallecido, para que dentro de dicho término comparezca en el juzgado de U subdelegacion general de bienes mostrencos, vacantes y abintestatos 4 exponer y pedir lo que á su derecho conv…</t>
  </si>
  <si>
    <t>Aivarez, Isidora</t>
  </si>
  <si>
    <t>Isidora Aivarez</t>
  </si>
  <si>
    <t>Gaceta de Madrid n.º 98</t>
  </si>
  <si>
    <t>872</t>
  </si>
  <si>
    <t>…allecimiento ocurrido bajo cierta disposición de D. Diego Fernandez Lagaron, vecino que fue de esta vi lla, y gefe que fue de cocina de la Exctna. Sra. duquesa de Alba, y viudo de Doña Isidora Aivarez, en la que habiéndose hecho el correspondiente inventario de bie nes, y practicado también otras diligencias últimamente á instancia del curador ad Iitcm de los hijos menores herederos del mismo Lagaron, se ha pedido y mandado por el citado señor juez que se…</t>
  </si>
  <si>
    <t>Al, Joaquin</t>
  </si>
  <si>
    <t>Joaquin Al</t>
  </si>
  <si>
    <t>Gaceta de Madrid n.º 23</t>
  </si>
  <si>
    <t>…tados desde el de la fecha; apercibidos que de no hacerlo, sin mas citarles ni emplazarles, se procederá en justicia ,y les parará el perjuicio que haya lugar. Por el juzgado del Sr. D. Joaquin Al mazan y Gímeno , del Consejo de S.M., te niente corregidor de esta muy heroica villa , se cita , llama y emplaza á todos ios acreedores á los bienes quedados por muerte de Doña Benita María Bustio para que en el término de 1 § dias,precisos y perentorios,que…</t>
  </si>
  <si>
    <t>Al-, Joaquín</t>
  </si>
  <si>
    <t>Joaquín Al-</t>
  </si>
  <si>
    <t>Gaceta de Madrid n.º 95</t>
  </si>
  <si>
    <t>…en la calle de la Luna de esta corte, que tiene de sitio 2990 pies, y está lasada en 138662 rs. vn., se ha vuelto á señalar el lunes 18 del. corriente á las 12 en la audiencia del Sr. D. Joaquín Al-</t>
  </si>
  <si>
    <t>Alagon, Duque de</t>
  </si>
  <si>
    <t>Duque de Alagon</t>
  </si>
  <si>
    <t>Gaceta de Madrid n.º 24</t>
  </si>
  <si>
    <t>…ara que asi conste se mandaron fijar edictos* Lisboa 13 de Febrero de 1817.zzjostf Accursio de las Nieves ESPAÑA. Madrid 14 de Febrero. El Rey nuestro Señor, acompañado del Excmo. Sr. Duque de Alagon, capitán de Guardias de su Real Persona , se presentó en el hospital General á las 10 de la mañana del sábado 15 del corriente. Visitó la despensa, cocina, almacén de ropas y botica ; examinó los víveres; probó los caldos para los enfermos, y en seguida recor…</t>
  </si>
  <si>
    <t>Alagon, Salvador de</t>
  </si>
  <si>
    <t>Salvador de Alagon</t>
  </si>
  <si>
    <t>…publicación de este aviso, acudan por sí ó por medio de procurador con poder bastante ante el referido Sr. D. Luis Manes, y es cribanía que en la citada ciudad de Valencia egerce.D. Salvador de Alagon, á re clamar sus créditos; con apercibimiento que no compareciendo Ies parará el perjui cio que haya lugar. Por providencia del Sr. D. Josef Salvador López del Pan ,del Consejo de S. M., su alcalde de casa y corte , dada en 16 del corriente mes y año, refrend…</t>
  </si>
  <si>
    <t>Gaceta de Madrid n.º 77</t>
  </si>
  <si>
    <t>664</t>
  </si>
  <si>
    <t>…efecto de que dentro de 1 S días precisos, contados desde 15 del presente, que por último término se les señala, comparezcan ante el propio señor juez interventor por el oficio de D. Salvador de Alagon , escribano de cámara honorario de aquella R.eal audiencia; bajo apercibimiento de que no haciéndolo no serán oidos ni atendidos para su pago J segun se previene en Iteal órden de 16 de Noviembre {¡!timo. Retrato de la Sra. Doña MARrA ISABEL DE BRAGANZA I REr…</t>
  </si>
  <si>
    <t>Alarcon, Cristóbal Ruíz de</t>
  </si>
  <si>
    <t>Cristóbal Ruíz de Alarcon</t>
  </si>
  <si>
    <t>Gaceta de Madrid n.º 97</t>
  </si>
  <si>
    <t>864</t>
  </si>
  <si>
    <t>…á cualquiera hora en la casa habitación del tenien te coronel graduado D. Alfonso Leal, fiscal del consejo de oficiales generales de la misma. No habiendo sido posible encontrar á D. Cristóbal Ruíz de Alarcon, persona hacendada, y residente en esta corte antes de esta última revolución, para comuni carle asuntos interesantes á su favor, se suplica á esta persona, sus parientes ó sugeto que sepa de su paradero ó del de alguno de estos, se sirva comunicarlo á Josef…</t>
  </si>
  <si>
    <t>Alarcon, Josef Navarro y</t>
  </si>
  <si>
    <t>Josef Navarro y Alarcon</t>
  </si>
  <si>
    <t>…ios Valera y Viaña, D. Josef Zizur y Azanza, D. Tomas Mones y Puertas, D. Miguel Zizur y Azanza, D. Joaquín Basols y Marañosa, D. Josef Amat y Desvaíls, D. Pablo Navas y Loigorri, D. Josef Navarro y Alarcon , D. Agustín Blake y Tovar, D. Josef Romero Dorado, D. Manuel Vega y Romero, D. Al varo de Navia y Osorio, D. Juan de ia Lastra y Mata, D. Dionisio Sierra y Abello, D. Antonio Jácome y Villena, D. Antonio Fernandez Pinzón, Don Antonio de los Reyes y Céspedes,…</t>
  </si>
  <si>
    <t>Alatorre, Josef Félix Flores</t>
  </si>
  <si>
    <t>Josef Félix Flores Alatorre</t>
  </si>
  <si>
    <t>Gaceta de Madrid n.º 148</t>
  </si>
  <si>
    <t>…ey se ha servida nombrar para la canongía doctoral de la metropo litana de México, vacante por promoción del Dr. D. Pedro Josef de Fonte á la mitra de dicha santa iglesia &gt; al Dr. D. Josef Félix Flores Alatorre ; y para la magistral de la catedral de la Puebla de los Angeles, vacante por pro moción á la mitra de ella del Dr. D. Antonio Joaquín Pérez, al Dr. D. Ma nuel Perez y Suarez. Habiendo fallecido la Archiduquesa Hermfna, esposa del Archiduque Jo sef Palatino d…</t>
  </si>
  <si>
    <t>Alava, Ignacio María de</t>
  </si>
  <si>
    <t>Ignacio María de Alava</t>
  </si>
  <si>
    <t>Gaceta de Madrid n.º 40</t>
  </si>
  <si>
    <t>niente general D. Ignacio María de Alava, se ha servido el Rey promoverle á capitán general de su Real armada. El dia 9 de Enero último falleció en la plaza de Málaga, á los 63 años, 6 meses y 15 dias de edad, el Excmo. Sr. D. Ramón Fernando Patiño, mar ques del Castelar y de la Sierra , Grande de E…</t>
  </si>
  <si>
    <t>Alba, Josef Ciavijo y</t>
  </si>
  <si>
    <t>Josef Ciavijo y Alba</t>
  </si>
  <si>
    <t>Gaceta de Madrid n.º 117</t>
  </si>
  <si>
    <t>…l año de 812 servia á las órdenes del general Obispo; y se suplica á la persona que pueda dar alguna noticia lo haga en Madrid á Doña Elena Doria, calle de Mira el Rio, núm. 5 ; á D. Josef Ciavijo y Alba, calle de Capellanes, núm. 3 , y en .Barcelona á D. Antonio S. Germán , catedrático de cirugía médica, ó á D. Josef Capdeviia, cirujano del Real cuerpo de Ar tillería. Se halla vacante la plaza de médico de la villa de la Membrillar en la Mancha baja, y cuya…</t>
  </si>
  <si>
    <t>Alba, Juan Hernández de</t>
  </si>
  <si>
    <t>Juan Hernández de Alba</t>
  </si>
  <si>
    <t>…Comendadores Al mariscal de campo D. Josef María Jalón; á los brigadieres marques de Sta. Cruz de Rivadulla; D. Pedro de la Cuesta; D. Ciríaco de Llano; D. Juan Josef Olazabal; á D. Juan Hernández de Alba, oidor de la au diencia de Puerto-Príncipe; D. Martin Gil y Garcés, deán de la catedral de Valladolid de Mechoacan; al capitán de navio D. Juan Jacinto de Vargas; D. Antonio Julián Alvarez, oidor de la audiencia de Puerto-Príncipe; Don Mariano Ruiz de Navainu…</t>
  </si>
  <si>
    <t>Alba, Manuel Callejo de</t>
  </si>
  <si>
    <t>Manuel Callejo de Alba</t>
  </si>
  <si>
    <t>…e i.° de Setiembre de 1807, núms. 17340, 20398 y 20776 D. Pedro Noiasco Castañares: 20935 D. Feliciano de Ochoa: 22806 D. Pedro Ormaechea: 22900 D. Gabriel Aragón; y 63835 y 66225 D. Manuel Callejo de Alba: de 600 pesos de i.° de Mayo de 1808, núms. 391730 Doña Catalina Gómez; y 412136 D. Julián Diaz: de 300 pesos de idem, niims. 477420 y 476798 Doña María Ignacia Galarza; los cuales se hallan reclamados por D. Bonifacio Doz y la Cerda, vecino de Tarazona, en A…</t>
  </si>
  <si>
    <t>Alberto, Josef Antonio de S.</t>
  </si>
  <si>
    <t>Josef Antonio de S. Alberto</t>
  </si>
  <si>
    <t>Gaceta de Madrid n.º 120</t>
  </si>
  <si>
    <t>1076</t>
  </si>
  <si>
    <t>…12 cuartos en papel en el almacén de 1a imprenta Real.“Crítica de dicho papel á real, id. Relox espiritual para llevar á Dios presente en toda hora, compuesto por el limo. Sr. Fr. D. Josef Antonio de S. Alberto, arzobispo de Charcas, impreso cu 1786. Véndese &amp; 2 rs. en papeJ en el referido almacén. EN LA IMPRENTA REAL.</t>
  </si>
  <si>
    <t>Albo, Antonio</t>
  </si>
  <si>
    <t>Antonio Albo</t>
  </si>
  <si>
    <t>1036</t>
  </si>
  <si>
    <t>…a, Santiago Vallalado , D. Juan Miguel Alcalá, D. Francisco García de la Penilla, Juan Fer nandez, Baltasar Puebla , D. Dionisio Perez Guerra, Sebastian Bazan, D. Blas Mar tinez y D. Antonio Albo; apercibidos que si no lo hiciesen por sí ó sus legítimos representantes, ó sus herederos en el caso de haber fallecido alguno de elios, les parará el perjuicio que haya lugar, y se procederá sobre dichos puntos á lo que ha ya lugar sin necesidad de otro empl…</t>
  </si>
  <si>
    <t>Albuerne, Manuel</t>
  </si>
  <si>
    <t>Manuel Albuerne</t>
  </si>
  <si>
    <t>…Bartolomé Alurilio, grabada en medio pliego de marca mayor por D. Joaquín Ballester, á 10 rs. cada una: igualmente la estampa de S. Antonio Abad, en cuartilla de marca mayor, por D. Manuel Albuerne, con otras muchas de este tamaño que forman colección de varios santos y santas, á 3 rs. cada una en negro y á 10 iluminadas. Hay tam bién buenas estampas romanas y países de diferentes precios. SUPLEMENTO</t>
  </si>
  <si>
    <t>Alburquerque, Antonio</t>
  </si>
  <si>
    <t>Antonio Alburquerque</t>
  </si>
  <si>
    <t>787</t>
  </si>
  <si>
    <t>…imiento de Barbastro D. Andrés Pinillos y el subteniente del mismo D. Francisco León; y los heridos el teniente de granaderos D. Juan Calvet y el ayudante de dra gones de la Union D. Antonio Alburquerque, y el del Rey de infantería el teniente Juan Josef Nieves. Cuartel general de Nueva-Barcelona Abril 8 de i8i7.= Gefe de estado mayor interino, Manuel Bausá. = V.Ü B.° = Juai* de Aidama. De la relación que se expresa resulta que son 22 piezas de artillería dé…</t>
  </si>
  <si>
    <t>Alcaide, Agustin</t>
  </si>
  <si>
    <t>Agustin Alcaide</t>
  </si>
  <si>
    <t>Gaceta de Madrid n.º 74</t>
  </si>
  <si>
    <t>…catedrático del establecimiento por S. M., que lo es de la mis ma ciencia en la universidad literaria, el doctor en ambos derechos y maes tro en artes , socio de mérito literario D. Agustin Alcaide, manifestó este en un breve discurso lo útil que era este estudio, y la necesidad de extenderlo; porque si todos los desvelos humanos se dirigen á satisfacer las necesidades y aumentar la esfera de las comodidades, siendo el objeto de la economía en señar com…</t>
  </si>
  <si>
    <t>Alcaide, Agustín</t>
  </si>
  <si>
    <t>Agustín Alcaide</t>
  </si>
  <si>
    <t>…la Real sociedad aragonesa , se hace saber ai público, de acuerdo de la misma, que los sugetos que intenten ocupar esta cátedra deberán presentarse dentro del término de 40 dias á D. Agustín Alcaide, secretario de la expresada so ciedad, para firmar la oposición, mediante la cual, con arreglo á la Real or den de i.° de Marzo de 18 16, debe conferirse. El sueldo con que está dota da esta cátedra son 12© rs. anuales, que en virtud de la misma Real orden se…</t>
  </si>
  <si>
    <t>Gaceta de Madrid n.º 126</t>
  </si>
  <si>
    <t>…tinarán aposentos, en donde cerrados, y con el auxilio de los li bros de que quieran valerse, arreglarán su composición, la cual entregarán firmada al secretario de la sociedad el Sr. D. Agustín Alcaide. Verificado esto se formarán ternas, para que en los dias que se señalen dificulten dos de los opositores al tercero sobre el punto de la disertación, turnando en esta forma todos entre sí; sostendrán ademas separadamente medía hora por lo menos de examen de…</t>
  </si>
  <si>
    <t>Alcalá, Juan Miguel</t>
  </si>
  <si>
    <t>Juan Miguel Alcalá</t>
  </si>
  <si>
    <t>…D. Pedro del Rio, la viuda de D. Inocencio Sánchez, D. Manuel López de Rivas, D. Josef An gel de Santelices, Facundo Calleja, Juan Mejorada, Pedro de la Peña, Santiago Vallalado , D. Juan Miguel Alcalá, D. Francisco García de la Penilla, Juan Fer nandez, Baltasar Puebla , D. Dionisio Perez Guerra, Sebastian Bazan, D. Blas Mar tinez y D. Antonio Albo; apercibidos que si no lo hiciesen por sí ó sus legítimos representantes, ó sus herederos en el caso de haber…</t>
  </si>
  <si>
    <t>Alcaráz, Francisco López</t>
  </si>
  <si>
    <t>Francisco López Alcaráz</t>
  </si>
  <si>
    <t>202</t>
  </si>
  <si>
    <t>…smas que se han adjudicado, Madrid ij de Febrero. Comisionados por la ciudad de Lorca para felicitar al Rey nuestro Señor y Sermo. Sr. Infante D. Cirios por sus efectuados enlaces D. Francisco López Alcaráz , caballero pensionista de la Real y distinguida orden espa ñola de Cirios ni, secretario de S. M. con egercicio,y ministro del supremo Consejo de Hacienda; D. Francisco Barradas, mariscal de catnpo de los Rea les egércitos, y D. Antonio Robles y Moñino, caba…</t>
  </si>
  <si>
    <t>Alcázar, Francisco</t>
  </si>
  <si>
    <t>Francisco Alcázar</t>
  </si>
  <si>
    <t>Gaceta de Madrid n.º 25</t>
  </si>
  <si>
    <t>…esmalta das, la una en 800 rs., y la otra en 797^. Quien quisiere hacer postura ó mejora í las referidas alhajas ocurra ante el referido señor juez, por la escribanía de número de D. Francisco Alcázar, donde se dará razón mas extensa de ellas, y el parage en que se manifestarán. EN LA IMPRENTA REAL.</t>
  </si>
  <si>
    <t>…á tasada en 19986 rs. vn. Quien quisiere hacer postura ó mejora á dichas casas acuda en término de go dias, contados desdi 14 del corriente, á la escribanía del número de cargo de D. Francisco Alcázar. Por auto del Sr. D. León de la Cámara Cano, del Consejo de S. M., teniente corregidor de esta villa, por la escribanía de número de D. Santiago de Estepar , s.e ha señalado para el dia martes g de Junio próximo, á las 12 de su mañana el re mate de las fincas…</t>
  </si>
  <si>
    <t>Gaceta de Madrid n.º 67</t>
  </si>
  <si>
    <t>…stá tasada en 138662 rs. vn. Quien quisiere hacer postura ó mejora á dicha casa ocurra en término de 30 dias, contados desde 28 del pasado, á la escribanía del numero del cargo de D. Francisco Alcázar. E11 virtud de providencia del Sr. D. Joaquín Almazan, del Consejo de S. M&gt;, teniente corregidor de esta villa, se sacan á pública subasta por término de 30 dias una casa y huerta jardín sitas en la villa de Leganes, y su calle del Nuncio, te niendo la primer…</t>
  </si>
  <si>
    <t>Gaceta de Madrid n.º 89</t>
  </si>
  <si>
    <t>…ecto de 2200 rs. cada fanega. Quien quisiere hacer postura ó mejora á dicha finca ocurra en el citado término ante el referido señor juez, por la escribanía del número de cargo de D. Francisco Alcázar, que se admitirán siendo arregladas.—' El propio señor juez por la misma escribanía ha señalado el dia i.° de Agosto pró ximo á las r 2 en su audiencia para el remate de una casa sita en la calle de la Lu na de esta corte, señalada con el núm. 10 de la manz.…</t>
  </si>
  <si>
    <t>mazan, del Consejo de S. M., teniente corregidor de esta villa, ante el escribano de su número D. Francisco Alcázar.—También se ha señalado el propio dia 18 del corriente, y á Ja misma hora, ante dicho señor juez y escribano, para el remate de dos casas sitas en las calles de S. Bernardo y de Zurita, barrio de S. Lorenzo, dis tinguidas ambas con el núm. 9 de la manz. 20, q…</t>
  </si>
  <si>
    <t>Aldama</t>
  </si>
  <si>
    <t>784</t>
  </si>
  <si>
    <t>…monio del valor, pericia y heroísmo que caracteriza á las dignas tropas que tengo el honor de mandar. Al mismo tiempo no puedo menos de recomendar á V. E. al benemérito y valiente coronel Aldama; que se ha grangeado en la división el justo aprecio que merece su bizarría y conocimientos militares; pidiendo á V. E. se digne reclamar de la piedad del Rey el grado de brigadier en favor de este gete, que tiene dos años mas de antigüedad en su clase que to…</t>
  </si>
  <si>
    <t>Gaceta de Madrid n.º 130</t>
  </si>
  <si>
    <t>PDF p. 10</t>
  </si>
  <si>
    <t>…, hacían un fuego vivísimo sobre todas las defensas de los rebeldes, los cuales contestaron arbolando su pabellón tricolor, y haciendo fuego de to das sus baterías. La columna del coronel Aldama impuso sobremanera á los enemigos, los cuales estrechados por el estrago de algunas granadas que cayeron en sus fuertes comenzaron á abandonarlos. Los cazadores y el batallón de Burgos, conducidos por su intrépido gefe el brigadier Canteras, despreciando el f…</t>
  </si>
  <si>
    <t>…reconquista de la isla Margarita para no perder la estación seca y sana de las brizas ,1a mas á propósito para realizar dicha operación. Al efecto de jó acantonada la división del coronel Aldama sobre el pueblo del Chaparro para que pudiese subsistir con los ganados del Llano, y evitar la miseria de la costa. Continuando después á Barcelona, marchó con parte de la división expedicionaria sobre Carupano y la costa de Guiria, de donde fueron arro jados…</t>
  </si>
  <si>
    <t>Aldama, Juan</t>
  </si>
  <si>
    <t>Juan Aldama</t>
  </si>
  <si>
    <t>Gaceta de Madrid n.º 85</t>
  </si>
  <si>
    <t>…derables fuerzas sutiles de estos: que el 4 de Abril desembarcó 400 hombres de la guarnición de Cumaná, los cuales unidos al egército de orien te, al cargo del coronel de la Union D. Juan Aldama, se apoderaron de la costa y de la ciudad , á excepción de la casa fuerte , de la cual se posesio naron por fin , habiéndola batido en brecha con tres piezas de á 18 que des embarcó la escuadrilla , y tomádola por asalto el día 7 ; y finalmente que reconquist…</t>
  </si>
  <si>
    <t>…alvario , batería de Osteriz, la de los Dragones, y una porción de reductos y de trincheras que rodean la población. El general en gefe para encerrar á los rebeldes dispuso que el coronel Don Juan Aldama marchase con el batallón de la Reina Doña Isabel y el regi miento de la Union á situarse en el camino que desde Pampatar va á la ciu dad de la Asunción; entre tanto dicho general en gefe siguiendo el camino de Porlamar se situó en disposición de rodear los fu…</t>
  </si>
  <si>
    <t>…itarles esta guarida, y con el doble objeto de ponerse en contacto con las fuerzas de Guayana , se in corporó el 13 de Mayo con la primera división del egército, á las órdenes del coronel D. Juan Aldama,cuyo gefe pocos dias antes había destruido una gavilla de rebeldes, capitaneada por Julián Infante, matándole mucha gente, cogiéndole algunos caballos, y quemando el campamento en que se abriga ba: continuando la marcha llegó la división al pueblo de Sta. Mar…</t>
  </si>
  <si>
    <t>…an concertado de abordar y ocupar á Margarita , hicieron en la parte oc cidental de Coche, cerca de 4® hombres con el general D. Pablo Morillo, el brigadier D. Josef Canterac y el coronel D. Juan Aldama; ademas de lo cual continuando siempre en sus movimientos , y en el trasporte de víveres y per trechos auxilió eficazmente al egército en sus operaciones, rechazando y ba tiendo á Jos rebeldes en diferentes puntos de la aosta de aquella isla, al paso que el e…</t>
  </si>
  <si>
    <t>Aldama, Juan de</t>
  </si>
  <si>
    <t>Juan de Aldama</t>
  </si>
  <si>
    <t>…nor de participar á V. E. el haberse tomado por asalto la tarde del 7 la casa fortificada en que se hallaban guarecidos los rebeldes existentes en Bar celona, según me comunicó el coronel D. Juan de Aldama, comandante general de la primera división ; ofreciendo dar á V. E. cuenta detallada de la acción luego que supiese sus pormenores. Hoy han llegado á mis manos los partes circunstanciados de que son copias literales las adjuntas, y que dirijo á V. E. para su…</t>
  </si>
  <si>
    <t>…or secretario de Estado y del des pacho de la Guerra con fechas de 11 y 19 de Abril último los siguientes partes desde su cuartel general de Marcay y Valencia.. i.° Excmo. Sr.: El coronel D. Juan de Aldama y comandante general de la primera división de este egércitoque opera en la provincia de Barce lona , me dice en parte que me dirige á las 5 de la tarde del dia 7 del cor riente lo que sigue: Excmo. Sr.: Tengo la satisfacción de anunciar á V. E. que esta tard…</t>
  </si>
  <si>
    <t>Aldao</t>
  </si>
  <si>
    <t>Gaceta de Madrid n.º 133</t>
  </si>
  <si>
    <t>1184</t>
  </si>
  <si>
    <t>…cuan to por las considerables exacciones que hacia para el socorro de los de San Estéban , por lo que esta acción, aunque pequeña , es de toda consideración por sus resultas. ,,E1 capitán Aldao comunica desde S. Miguel el Grande que habian en trado con Sesma y Arrazola (alias Zapotillo) 30 caballos en el cerro, y con fecha de 3 me avisa el comandante López ha estrechado á los rebeldes de el, en términos que no pueden subsistir por muchos dias, pues…</t>
  </si>
  <si>
    <t>Aldao, Antonio</t>
  </si>
  <si>
    <t>Antonio Aldao</t>
  </si>
  <si>
    <t>1184 capitán de cazadores de Saboya D. Antonio Aldao en Sta. Cruz Itundugia ai cabecilla Marcelino Sánchez. Este rebelde con la caballería que mandaba ha sido uno de los mas malos, tanto por sus crueldades en los pueblos, cuan to por las considerables exacciones que hacia para el socorro de los de San Estéban ,…</t>
  </si>
  <si>
    <t>Alea, Josef Miguel de</t>
  </si>
  <si>
    <t>Josef Miguel de Alea</t>
  </si>
  <si>
    <t>Gaceta de Madrid n.º 121</t>
  </si>
  <si>
    <t>…de Hurtado, calle de las Carretas, y en el puesto de Hermoso en dicha calle. Exposición compendiosa de los caracteres de la verdadera religión , por el R. P. Gerdil, traducida por D. Josef Miguel de Alea, é impresa en 1786: un tomito en 8.° Véndese á 4 rs. en papel en ei almacén de la imprenta Real. EN LA IMPRENTA REAL.</t>
  </si>
  <si>
    <t>Alegre, Manuel</t>
  </si>
  <si>
    <t>Manuel Alegre</t>
  </si>
  <si>
    <t>Gaceta de Madrid n.º 19</t>
  </si>
  <si>
    <t>188</t>
  </si>
  <si>
    <t>…nta las estampas siguientes: una Dolorosa y un Ecce Homo, copias de los originales del célebre pintor O. Bartolomé Murillo, dibujadas y gra badas en medio pliego de marca mavorpor D. Manuel Alegre, á 6 rs. cada una: San Luis Rey de Francia, y S. Cirios Bjrromeo, en pliego de marca mayor, copiadas del famoso Edelinc, y grabadas por el mismo Alcg-e, á 6 rs. cada estampa. Se ha llarán en dicho almacén colecciones de otras muchas en cuartilla, y países de…</t>
  </si>
  <si>
    <t>Gaceta de Madrid n.º 42</t>
  </si>
  <si>
    <t>…de 1817, y embarcados en ella SS. MM. y AA., grabada en medio pliego tnirquilla á 3 rs. en negro y á 6 iluminada; y el retrato del célebre pintor D. Bartolomé Murillo, grabado por D. Manuel Alegre, á 3 rs. Se venden en el almacén de estampas de la calle Mayor, frente á la casa del conde de Oñate. EN LA IMPRENTA REAL,</t>
  </si>
  <si>
    <t>Alejandro</t>
  </si>
  <si>
    <t>Gaceta de Madrid n.º 32</t>
  </si>
  <si>
    <t>…o, quedando también á su favor propinas y gages eventuales de vecinos y forasteros, que todo asciende á 400 ducados anuos. Los pretendientes podrán dirigir sus solicitudes á dicho D. Alejandro hasta fin del cor riente mes. Se halla vacante la plaza de maestro de primeras letras del lugar de Puebla nue ra, jurisdicción de Talavera de la Reina, cuya dotación son 4® rs. anuales paga dos mensualmente; un real diario con que contribuye el Emo. y Excmo.…</t>
  </si>
  <si>
    <t>Alejo, Josef</t>
  </si>
  <si>
    <t>Josef Alejo</t>
  </si>
  <si>
    <t>…rendada de D. Cárlos Rodríguez de Mo ya, escribano de provincia, se cita, llama y emplaza á todos los que se crean ser acreedores á los bienes que han quedado por fallecimiento de D. Josef Alejo de la Torre, vecino que fue de esta villa, y procurador de los Reales Consejos , para que en el término de 15 dias primeros siguientes al de la publicación comparezcan ante dicho señor juez y citada escribanía á deducir sus derechos con los documentos cor res…</t>
  </si>
  <si>
    <t>Alemán, Manuel Luciano</t>
  </si>
  <si>
    <t>Manuel Luciano Alemán</t>
  </si>
  <si>
    <t>Gaceta de Madrid n.º 12</t>
  </si>
  <si>
    <t>…Juan Pedro Da^uerre y Larroder. Idem 2.0 D. Josef Diaz Rábago. Idem 3.0 Don Josef María Anchuelo y Guzman. Capellán D, León Ramón del Valle. Para el de Oviedo en Salamanca. Rector D. Manuel Luciano Alemán. Consiliario i.° D. Manuel Barrio Ayuso. Idem 2.0 D. Antonio González Miranda. Idem 3.0 D. Diego Suarez. Capellán D. Domingo Ruirnonte. En puntual egecucion de estas soberanas resoluciones ha tomado la junta las providencias oportunas para que cuanto antes se…</t>
  </si>
  <si>
    <t>Alexa</t>
  </si>
  <si>
    <t>Gaceta de Madrid n.º 8</t>
  </si>
  <si>
    <t>74</t>
  </si>
  <si>
    <t>…de los que iban en el bote, sin saber qué suerte corrieron el capitán y el otro individuo que estaban con él: que los revoltosos después de este acto previnieron con la bocina al capitán Alexa nd-er , de la Belona, que cuidado como les hacia fuego, porque la eos* no era contra él; y que en caso de querer tomar el partido de Aury lo pa saría muy mal, pues irían á bordo: que desde el momento que se había se parado el capitán del falucho de su bordo,…</t>
  </si>
  <si>
    <t>Alexan, Guillermo</t>
  </si>
  <si>
    <t>Guillermo Alexan</t>
  </si>
  <si>
    <t>…condado deMiddlesex, comerciante, que falleció en el mes de Agosto de 1816,6 hacia este tiempo , deberán comparecer por medio de sus procuradores, y comprobar sus créditos ante el Sr. D. Guillermo Alexan¡der , uno de los jueces de diligencias del susodicho tribunal, en su oficio sito en Southampton Buildings, Chancery Lañe, Londres; con la prevención de que no haciéndolo asi, serán los susodichos acreedores excluidos del beneficio del referido decreto. El dia…</t>
  </si>
  <si>
    <t>Alexander, Guillermo</t>
  </si>
  <si>
    <t>Guillermo Alexander</t>
  </si>
  <si>
    <t>Gaceta de Madrid n.º 94</t>
  </si>
  <si>
    <t>Agosto de 1816, &lt;5 hácia este tiempo , deberán comparecer por medio de sns procuradores, y comprobar sus créditos ante el Sr. D. Guillermo Alexander, uno de los jueces de diligencias del susodicho tribunal, en su oficio sito en Southampton Buildings, Chancery^Lane, Londres; con la prevención de que no haciéndolo asi, serán los susodichos acreedores excluidos del beneficio del referido decreto. Quien quisi…</t>
  </si>
  <si>
    <t>…ondado de Middlesex, comerciante, que falleció en el mes ce Agosto de 1816, ó hacia este tiempo, deberán comparecer por medio de sus procuradores, y comprobar sus créditos ante el Sr. D. Guillermo Alexander, uno de los jueces de diligencias del susodicho tribunal, en su oficio sito en Southampton Buildings,Chancery Lañe, Londres, hasta el dia 6 de No viembre de 1817 ; con la prevención de que no haciéndolo asi, serán los su sodichos acreedores excluidos del bene…</t>
  </si>
  <si>
    <t>Gaceta de Madrid n.º 103</t>
  </si>
  <si>
    <t>923</t>
  </si>
  <si>
    <t>923 Agosto de 1816, o hacía este tiempo , deberán comparecer por medio de sus procuradores, y comprobar sus créditos ante el Sr. D. Guillermo Alexander, uno de los jueces de diligencias del susodicho tribunal, en su oficio sito en Sourhampton Buildings, Chancery Lañe, Londres, hasta el dia 6 de No viembre de 1817; con la prevención de que no haciéndolo asi, serán los su sodichos acreedores excluidos del bene…</t>
  </si>
  <si>
    <t>Alfare, Tiburcio</t>
  </si>
  <si>
    <t>Tiburcio Alfare</t>
  </si>
  <si>
    <t>…locar el escudo de armas Reales sobre las puertas de la fábri .. ca de curtidos que tiene establecida en dicha ciudad. - No habiendo concurrido todos los acreedores al concurso de D. Tiburcio Alfare en junta que celebraron el 13 del corriente ante el Sr. D. Leon de la Cámara la Cano, del Consejo de S. M. en el supremo dI! IIacienda, primer teniente corregi. dor, y corregidor interino de esta villa, se señaló otra para el día 4 d~ Julia próximo á las ccho…</t>
  </si>
  <si>
    <t>Alfaro, Josef</t>
  </si>
  <si>
    <t>Josef Alfaro</t>
  </si>
  <si>
    <t>…el cabecilla lo era en efecto el tuerto Juan Alvarez, que habia salido aquella mañana de Rancho Viejo. „ Las tres carabinas y los machetes los he dado al realista de dicho pue blo D. Josef Alfaro, que está levantando una compañía, y los caballos y prisioneros quedan á disposición de vmd. en la prevención de dragones de España. „Dios guarde á vmd. muchos años. Maravatio Marzo 11 de 1817.=Vi cente Filisola. = Sr. teniente coronel D. Marcos Rodríguez.” E…</t>
  </si>
  <si>
    <t>…a'de Dueñas, alcalde mayor de Alcira; y para el corregimiento político de la ciudad de Antequera, vacante por muerte de D. Juan de Dios Cevallos, al coronel de los Reales egérdtos D. Josef Alfaro. También se ha servido S. M. conceder honores &lt;kl tribunal Real y Apos tólico de la gracia del Excusado á D. Romualdo de Mendoza, canónigo dig nidad de chantre de la santa iglesia catedral de Calahorra. D. Josef Pió Domínguez, comisionado para la construcción…</t>
  </si>
  <si>
    <t>Alfon</t>
  </si>
  <si>
    <t>…n providencia de este día del Sr. D. Francisco Xavier de Ojeda, del Consejo de S. M. en el supremo de Hacien da, juez asesor general de dicha Real casa y patrimonio, refrendada de D. Alfon so del Pozo, escribano de S. M., sus Reales caballerizas y demas ramos agregados, se hagan saber dichas proposiciones á los indicados acreedores, á quienes se cite para nueva junta que se ha de celebrar el dia i.° de Diciembre inmediato á las nueve en punto d…</t>
  </si>
  <si>
    <t>Alfonsa</t>
  </si>
  <si>
    <t>…io numerario D. Ramon Ca5ariego Villamil, vecino de la Coruña, por el singular esmero con que se habia dedicado á varios de los objetos de la sociedad, y á la educacion de su hija Doña Alfonsa, la 'cual en la corta edad de 9 años habia pintado, bajo la direccion de Don Tomas Fernandez Herosa, individuo de la Real academia de S. Fernando de Madrid J y director de ia escuela de dibujo de la Coruña, un cuadro que ~u padre remitió á la Real sockdad, y…</t>
  </si>
  <si>
    <t>Algarotti</t>
  </si>
  <si>
    <t>Gaceta de Madrid n.º 37</t>
  </si>
  <si>
    <t>…venden las traducidas por el minino sugeto, y son: la Virtud sacrificada; el conde de Corlee, llamado el Grande, ó el hombre que no conoce el arte de la intriga, y las cartas del conde Algarotti sobre la Rusia. EN LA IMPRENTA REAL.</t>
  </si>
  <si>
    <t>Alique, Eusebio Tarancon y</t>
  </si>
  <si>
    <t>Eusebio Tarancon y Alique</t>
  </si>
  <si>
    <t>…s y respuestas su instrucción en las cuatro partes de la gramática y elementos de retórica: tradujeron del castellano al latín lo que se les propuso por los examinadores ; y luego D. Eusebio Tarancon y Alique, sobresaliente en la cla se, dió razón del artificio retórico, estilo, ornato y concinidad de la filípica nona de Cicerón ; á lo cual se siguió un diálogo mitológico, con lo que se concluyó el egercicio. Por la tarde D. Víctor de Moya, mas adelantado en la se…</t>
  </si>
  <si>
    <t>…sobresalientes, los cuales se repartieron por mano del corregidor en ayuntamiento pleno, con arreglo á la censura de los examinadores, á los discípulos siguientes: Primera clase: D. Eusebio Tarancon y Alique, D. Leornardo More no.__Segunda clase: D. Víctor Moya, D. Manuel de Torres___ Tercera clase'. D. Josef Vicente Fernandez y Collada, D. Miguel González___ Los examinadores, admirados de los adelantamientos que en el corto tiempo que llevan de enseñanza manifes…</t>
  </si>
  <si>
    <t>Alix, Juan</t>
  </si>
  <si>
    <t>Juan Alix</t>
  </si>
  <si>
    <t>Gaceta de Madrid n.º 58</t>
  </si>
  <si>
    <t>…uel Domín guez, médico del lugar y monasterio de Santos, para Caldas de Cuntís: Don Pedro Sanjurjo, médico de la ciudad de Tuy, para Caldelas de este nombre: en el reino de Murcia D. Juan Alix, médico titular de la villa de Cieza, para Archena: en Navarra D. Angel Sanz, médico de Cervera del Rio Alama, para Fitero: D. Josef Rodríguez, médico de la villa de Pastrana, en la Al carria, para Velascoain : en el reino de Valencia D. Joaquín Ruiz de Lope,…</t>
  </si>
  <si>
    <t>Allue, Antonio</t>
  </si>
  <si>
    <t>Antonio Allue</t>
  </si>
  <si>
    <t>…ces enlaces , el regidor decano de la dicha villa D. Dionisio de Abad , acompañado del Excelentísi mo Sr. D. Josef de Palafox, capitán general de ios Reales egércitos, y del M. I. Sr. D. Antonio Allue, obispo electo de Gerona, capellán de honor de S, M., y penitenciario de su Real capilla; de los cuales el primero tuvo el honor de cumplimentar á S. M. en los términos siguientes: ,,Señor: La ilustre y privilegiada villa de Estadilla, en Aragón, me da la hon…</t>
  </si>
  <si>
    <t>Alma, Joaquín</t>
  </si>
  <si>
    <t>Joaquín Alma</t>
  </si>
  <si>
    <t>Gaceta de Madrid n.º 34</t>
  </si>
  <si>
    <t>…les se procederá á lo que corresponda. Habiendo hecho suspensión de pagos la casa de D. Pedro Baiile y compañía, del comercio y giro de esta corte, y acudido en tal estado ante el Sr. D. Joaquín Alma zan, del Consejo de S. M., teniente corregidor de esta villa , se ha señalado para una junta entre los mismos y sus acreedores en la posada del propio señor el dia 28 del corriente á las nueve, lo que se hace saber para noticia de estos. Se halla vacante la e…</t>
  </si>
  <si>
    <t>Almaran, Joaquín de</t>
  </si>
  <si>
    <t>Joaquín de Almaran</t>
  </si>
  <si>
    <t>…l interesado, y desvanecer cualquiera sospecha á que pueda ha ber dado lugar la publicidad de los insultos y prisión que sufrió de parte del mencionado regidor* Por el juzgado del Sr. D. Joaquín de Almaran, del Consejo de S. M., teniente, de corregidor de esta heroica villa, y escribanía del número de D. Jacinto G-aona y Loeches, penden autos á instancia de D. Antonio Artola, presbítero &gt; sobre que se le declaren de su pertenencia y vales Reales, 4 de ellos de…</t>
  </si>
  <si>
    <t>Almazan, Joaquín</t>
  </si>
  <si>
    <t>Joaquín Almazan</t>
  </si>
  <si>
    <t>Gaceta de Madrid n.º 4</t>
  </si>
  <si>
    <t>ceder facultad á la ciudad de Marbella para que pueda celebrar una feria anualmente en ios dias desde 28 de Mayo hasta el 4 de Junio en la forma ordinaria. Por el juzgado del Sr. D. Joaquín Almazan, teniente corregidor de esta villa, y escribanía de D. Vicente de la Costa, se han formado autos á instancia de Doña Juliana Leceni, viuda de D. Vicente Gómez, y de su hijo D. Juan, reclamando 14 vales de 150 pesos, y uno de 300 de las creaciones de i.° de Se…</t>
  </si>
  <si>
    <t>Gaceta de Madrid n.º 5</t>
  </si>
  <si>
    <t>…añana en dicha escribanía de provincia. En los autos de dimisión de bienes de D. Francisco Toledo, ausente, vecino y corredor de número de esta corte, que penden en el juzgado del Sr. D. Joaquín Almazan, del Consejo de S. M., teniente corregidor de esta villa, y escribanía del número de D. Tomas de Sancha y Prado, á instaacia de los comisionados por los acreedores, se ha mandado por providencia de 8 del corriente citar y emplazar por edictos y pregones á dic…</t>
  </si>
  <si>
    <t>56</t>
  </si>
  <si>
    <t>…les se titulaba comisario de guer ra propietario, no estando rehabilitado en este empleo, y el segundo hono rario sin tener tales honores: lo que se previene de órdentsuperior. Eí Sr. D. Joaquín Almazan, del Consejo de S. M., teniente corregidor de esta villa, ha señalado el día 17 dcL corriente á las 12 de su mañana y en su audiencia para el remate de la dehesa denominada de Zuarraz, sita dos leguas de distancia de la villa de Polan , y linda al norte con e…</t>
  </si>
  <si>
    <t>…S. procedan sin mas orden á hacer las propuestas, comunicándolo á quienes corresponda. Lo comunico á VV. SS. de Real orden para su puntual cum plimiento.” Por providencia del Sr.. D. Joaquín Almazan., del Consejo de S. M., teniente</t>
  </si>
  <si>
    <t>…itado, proceden te de la venta de la escribanía del número de esta villa, que egerció D. Ramón Mi lla Cuellar, para que concurran á una junta que ha de celebrarse en ¡a posada del Sr. D. Joaquín Almazan, del Consejo de S. M., teniente corregidor de esta villa, en el dia 24 de este mes á las nueve. Se cita á los acreedores é interesados á la testamentaría de Doña María Encar nación Nestares y Chapín, viuda que fue de D. Francisco Herrera, para que con curran…</t>
  </si>
  <si>
    <t>…ra que nadie carezca de este beneficio tan singular___ Se vende en la Real compa ñía de Filipinas, calle de las Carretas , cuarto de Lorenzo Martínez. En virtud de providencia del Sr. D. Joaquín Almazan, del Consejo de S. M.f teniente corregidor de esta villa, se venden las alhajas siguientes: un collar de per las y aperlados con 348 granos que pesan 21 adarmes, y están tasados en 11340 reales vellón: otro con 151 perlas de peso de 9 adarmes, en 5400 rs.: ot…</t>
  </si>
  <si>
    <t>…misma, que está á cargo de D. Segundo García, á exponer y pedir lo que les convenga en los enunciados autos, pues de no verificarlo les parará el perjuicio que haya lugar. Ante el Sr. D. Joaquín Almazan, del Consejo de S. Íyír, y teniente corregi dor de esta villa, pende reclamación de la priora y religiosas agustinas calzadas de Santa María Magdalena de la ciudad de Alcalá de, Henares, sobre que se decía.ren de su pertenencia los vales cuya numeración y fec…</t>
  </si>
  <si>
    <t>…te en el reino de Aragón por jubilación de D. Josef de la Cantolla se ha servido S. M. nombrar á D. Vicente dei Campo, auditor que fue del egército del centro. Por providencia del Sr. D. Joaquín Almazan, del Consejo de S. M., teniente corregidor de esta villa, su fecha 15 del corriente, y escribanía del número de Don Antonio López de Salazar, se cita, llama y emplaza á los acreedores á la testamen taría de Doña María Antonia Fernandez para que en el preciso…</t>
  </si>
  <si>
    <t>Gaceta de Madrid n.º 38</t>
  </si>
  <si>
    <t>…ción de su honor.” De Real orden lo traslado á V. para su inteligencia y cumplimiento en la parte que le toca. Dios guarde á V. muchos años. Madrid 6 de Marzo de 1817. De orden de D. Joaquín Almazan, teniente corregidor de esta villa, se cita y emplaza á cualquiera persona que se presuma sucesor inmediato de la vinculación que fundó en la ciudad de la Coruña el escribano de asiento que fue de aquella au-</t>
  </si>
  <si>
    <t>Gaceta de Madrid n.º 48</t>
  </si>
  <si>
    <t>…gidor interino de esta heroica villa, por la escribanía de su número que egerce D. Juan Raya dentro del término de 30 días. A voluntad de su dueño , y en virtud de providencia del Sr. D. Joaquín Almazan, del Consejo de S. M., teniente corregidor de esta heroica villa , dada por la escribanía del número de D. Cristóbal de Vicuña en 1 2 del corriente, se ha mandado sacar á publica subasta, por término de 30 dias, y señalado el 13 de Mayo próximo para su remate…</t>
  </si>
  <si>
    <t>Gaceta de Madrid n.º 53</t>
  </si>
  <si>
    <t>464</t>
  </si>
  <si>
    <t>…strumentos destilatorios de Mr. Ale gre de París, quedando expedita, como hasta aquí la entrada y venta de ios instrumentos de otros autores. Se vende en virtud de providencia del Sr. D. Joaquín Almazan, del Consejo de S. M., y teniente de corregidor de esta villa, y por la escribanía del número de D. Jacinto Gaona y Loeches, un pedazo de tierra labrantía y retamar titulado Suer tes de villa, sito en término del lugar de Alcorcon , perteneciente á los propio…</t>
  </si>
  <si>
    <t>Gaceta de Madrid n.º 56</t>
  </si>
  <si>
    <t>483 ^ # desde esta publicación, comparezca á deducir lo que á su derecho convenga; con apercibimiento que de no egecutarlo le parará el perjuicio que haya lugar. El Sr. D. Joaquín Almazan, del Consejo de S. M., teniente corregidor de esta villa, y por la escribanía del número de D. Antonio López de Salazar, ha señala do para la celebración de junta general de acreedores á la casa de giro, titulada en esta corte D. Patricio Joyes é hijos, el di…</t>
  </si>
  <si>
    <t>Almazan, Joaquin</t>
  </si>
  <si>
    <t>Joaquin Almazan</t>
  </si>
  <si>
    <t>568</t>
  </si>
  <si>
    <t>…ados por muerte de D. Pedro López Martínez y Do ña Paula Feliciana de Arenzana, su muger, para que en el término preciso y peren torio de 30 dias acudan ¿ deducirle al juzgado del Sr. D. Joaquin Almazan, y por la escribanía del número de D. Miguel Gonzalo* en el expediente formado á ins tancia del presbítero D. Pedro López Martínez, apoderado de los referidos acreedo res; en inteligencia que al que no comparezca, pasado que sea el citado término, Je parará e…</t>
  </si>
  <si>
    <t>…stura ó mejora á dicha casa ocurra en término de 30 dias, contados desde 28 del pasado, á la escribanía del numero del cargo de D. Francisco Alcázar. E11 virtud de providencia del Sr. D. Joaquín Almazan, del Consejo de S. M&gt;, teniente corregidor de esta villa, se sacan á pública subasta por término de 30 dias una casa y huerta jardín sitas en la villa de Leganes, y su calle del Nuncio, te niendo la primera 72455 pies cuadrados superficiales, tasada en la can…</t>
  </si>
  <si>
    <t>Gaceta de Madrid n.º 71</t>
  </si>
  <si>
    <t>…ino del lugar de Alcorcen , perteneciente á los propios de él, de caber 615 fanegas, 4 celemines y 28 estadales, tasado en 184612 rs. y 17 mrs., se ha señalado por providencia del Sr. D. Joaquín Almazan, del consejo de S. Al. y te niente de corregidor de esta villa, refrendada de D. Jacinto Gaona y Loeches, su escribano del número, el dia 23 del corriente á las r2 en punto de la mañana en la audiencia de S. S. Quien quisiere hacer postura á dicho pedazo de t…</t>
  </si>
  <si>
    <t>Gaceta de Madrid n.º 84</t>
  </si>
  <si>
    <t>748</t>
  </si>
  <si>
    <t>…sta distinción pre senten sus solicitudes justificadas ante S. E. por la secretaría de mi cargo. Madrid 5 de Julio de 1817. = Angel González Barreiro. En virtud de providencia del Sr. D. Joaquin Almazan, del Consejo de S. M. teniente corregidor de esta villa, y por la escribanía del número de D. Pascual Se co, se ha mandado sacar Jí pública subasta por término de 30 dias, y por la canti dad de 125$) rs., una casa sita en esta corte y su calle de Toledo, seña…</t>
  </si>
  <si>
    <t>…ado dicho término sin haber comparecido se da rá á los autos el curso correspondiente. Para pago de réditos de un censo impuesto contra el lugar de Vallecas, y por providencia del Sr. D. Joaquín Almazan, del Consejo de S. M., teniente corregi dor de esta villa, se manda sacar á pública subasta por término de 30 dias, que se cuentan desde 21 del corriente, un pedazo de tierra de labor que antes fue prado, de caber 13 fanegas, 4 celemines y 20 estadales, que l…</t>
  </si>
  <si>
    <t>Gaceta de Madrid n.º 92</t>
  </si>
  <si>
    <t>…eerá lo que corresponda en justicia, y les parará el perjuicio que haya lugar; cuyo término se contará desde la inserción de esta cédula en la ga ceta y diario. Por el juzgado del Sr. D. Joaquín Almazan, del Consejo de S. M., teniente corregidor de esta villa, y escribanía del número de D. Ciistóbal de Vicuña, se han reclamado por parte de D. Francisco de Arana, vecino del lugar de Onton, provincia de Santander, cinco vales Reales de 150 pesos de i.° de Ener…</t>
  </si>
  <si>
    <t>…ncia se dará razón de dos casas nuevas que se venden en esta corte á voluntad de su dueño , sin otra carga que la del farol y serenos. Por el juzgado de esta villa y audiencia del Sr. D. Joaquín Almazan, del Con sejo de S. M., teniente corregidor de ella, y escribanía de su número del cargo de D. Juan Raya, pende ia testamentaría formada í virtud del fallecimiento ocurrido bajo cierta disposición de D. Diego Fernandez Lagaron, vecino que fue de esta vi lla,…</t>
  </si>
  <si>
    <t>Gaceta de Madrid n.º 102</t>
  </si>
  <si>
    <t>…Zorrilla de S. Martin, que fue del comercio de lienzos en esta corte, para que concurran a la junta que ha de celebrarse el dia 9 de Setiembre próximo á las ocho en la po sada del Sr. D. Joaquín Almazan, del Consejo de S. M., teniente corregidor de esta villa, ante el escribano de su número D. Juan Raya. Se halla vacante el partido de médico titular de la villa de Escalona de Alberche, provincia de Toledo, y distante ocho leguas de ella y 1 2 ue esta corte*,…</t>
  </si>
  <si>
    <t>…ia 6 de No viembre de 1817; con la prevención de que no haciéndolo asi, serán los su sodichos acreedores excluidos del beneficio del referido decreto. En virtud de providencia del Sr. D. Joaquín Almazan, del Consejo de S. M., y teniente de corregidor de esta villa de Madrid, refrendada de D. Jacinto Gaona y Loeches, escribano del número de Ja misma, se ba mandado sacar á pública sub asta por segunda vez un pedazo de terreno de tierra labrantía y retamar, tit…</t>
  </si>
  <si>
    <t>Gaceta de Madrid n.º 104</t>
  </si>
  <si>
    <t>…limpieza de sangre y la expresada obligación de los padres ó parientes. Por parte de D. Pablo Josef Varneistein, vecino y del comercio de la ciudad de Cádiz, se ha acudido ante el Sr. D. Joaquín Almazan, del Consejo de S. M., teniente corregidor de esta villa, y escribanía del número que egerce D. Antonio Villa y Fernandez, reclamando el reintegro de un vale Real de 300 pesos de i.°</t>
  </si>
  <si>
    <t>Gaceta de Madrid n.º 108</t>
  </si>
  <si>
    <t>…r y escribanía, pues de no hacerlo les parará el perjuicio que haya lugar, procediéndose al pago con su pro ducto á los que hasta el dia se han mostrado parte. Por providencia del Sr. D. Joaquín Almazan, del Consejo de S. M., y teniente de corregidor de esta villa, refrendada de D. Jacinto Gaona y Loeches, escribano del número de la misma, se ha señalado el domingo 21 del corriente á las nueve de su mañana en la posada de S. S. para la junta general de acree…</t>
  </si>
  <si>
    <t>Gaceta de Madrid n.º 109</t>
  </si>
  <si>
    <t>…del fuego experimentado en 31 de Agosto último en la casa nú mero 9 de la calle de la Montera de esta corte, en que tuvo su comercio D. Fran cisco Villar, ha acudido este ante el Sr. D. Joaquín Almazan, teniente corregidor de esta villa, por la escribanía del número de D. Juan Raya, cediendo sus bienes en favor de sus acreedores, entre los que se ha mandado celebrar junta el dia 29 de este mes á las ocho en la posada del mismo señor juez, para que respecto…</t>
  </si>
  <si>
    <t>…eedores é interesados al concurso necesario de los bienes que dejó D. Be nito Diez del Valle, se ha señalado nuevamente para ella el dia 28 de este mes á las ocho en la posada del Sr. D. Joaquín Almazan, del Consejo de S. M., teniente corregidor de esta villa. Del origen de las leyes, artes, ciencias, y sus progresos en los pueblos antiguos; traducida del francés: cinco tomos en 4.0 á 80 rs. cada juego en papel. Véndese en el almacén de la imprenta Real. Tra…</t>
  </si>
  <si>
    <t>…el derecho de que respectivamente juzguen ha llarse asistidos; con apercibimiento que pasado dicho término sin hacerlo les parará el perjuicio que haya lugar. Por providencia del Sr. D. Joaquín Almazan, del Consejo de S. M., teniente corregidor de esta heroica villa, se cita, llama y emplaza á todos los acreedores cen sualistas y demas personas que se crean con derecho á la casa solar que en la calle del Mesón de Paños de esta población está señalada con el…</t>
  </si>
  <si>
    <t>Gaceta de Madrid n.º 116</t>
  </si>
  <si>
    <t>1044</t>
  </si>
  <si>
    <t>1044 En virtud de providencia del Sr. D. Joaquín Almazan, teniente primero de corregidor de esta villa, dada por la escribanía que está al cargo del Sr. D. Ramón García Ximenez, se cita y emplaza á todos los acreedores que puedan tener dere cho á los bienes quedados por muerte de D, Pedro Alvarez de Toledo, para qu…</t>
  </si>
  <si>
    <t>Gaceta de Madrid n.º 119</t>
  </si>
  <si>
    <t>…ado el dia 11 del corriente á las 12 en punto de la mañana en las puertas de la precitada escribanía de provincia, sita en el patio de la Real cárcel de corte. Por providencia del Sr. D. Joaquin Almazan , primer teniente corregidor de es ta corte, se cita y emplaza á las personas que se consideren con derecho á dos vales Reales de 600 pesos de i.° de Enero de 1808, núms. 373838 y 374688: dos de á 300 pesos de la misma fecha, núms. 111687 y 1 24427; y uno de…</t>
  </si>
  <si>
    <t>1076 Por providencia del Sr. D. Joaquín Almazan, del Consejo de S. M., primer teniente de corregidor de esta villa, dada por la escribanía deí número al cargo de jy. Cristóbal de Vicuña, se ha mandado sacar a pública subasta la parte que cor responde á Rosa Sevilla en Ja casa calle de S. Bernardo, parroqui…</t>
  </si>
  <si>
    <t>…s en término de dicho lugar, de caber todos estos 616 fanegas y 42 estadales, que se vende para pago de cierto acreedor, se ha señalado el dia 17 del corriente en la audiencia del Señor D. Joaquin Almazan, del Consejo de S. M., y teniente de corregidor de esta villa, á la una en punto de su tarde. Quien quisiere comprar dicho terreno, ó cualquiera de sus 39 suertes ó pedazos, acuda en dicho dia y hora, ó por la escribanía del nú» mero de D. Jacinto Gaona y Loe…</t>
  </si>
  <si>
    <t>…de D. Claudio Sanz; se han de rematar en el mejor postor ó postores los dias 20, 21, 22 y 23 del corriente de 11 á una de sus respectivas mañanas á las puertas de la audiencia del Sr. D. Joaquín Almazan, del Consejo de S. M., teniente corregidor de esta villa, por ante el refe rido escribano. A virtud de providencia del Sr. D. Joaquín Almazan y Ximeno, del Consejo de S. M., teniente primero de corregidor de esta villa, dada ante el escribano de número D. Cri…</t>
  </si>
  <si>
    <t>Gaceta de Madrid n.º 124</t>
  </si>
  <si>
    <t>tidad de 75637 vfl. metálicos, acudan ante el Sr. D. Joaquín Almazan, del Consejo de S. M., teniente corregidor de esta villa, por la escribanía del número del cargo de D. Claudio Sanz; y para el remate se ha señalado el dia 27 del cor riente á las 11 de la mañana en la puerta de la audiencia de dicho señor teniente. La casa s…</t>
  </si>
  <si>
    <t>Gaceta de Madrid n.º 125</t>
  </si>
  <si>
    <t>1120</t>
  </si>
  <si>
    <t>…Recio, encargado de cum plir la ultima voluntad de D. Francisco Arana, vecino que fue de esta corte , para que comparezca á usar de las acciones que le competan en el juzgado del Sr. Don Joaquín Almazan, del Consejo de S. M., teniente primero de corregidor de esta heroica villa de Madrid, y por la escribanía del número del cargo de D. Bernardo Díaz de Antoñana, donde se halla radicado el juicio de testamentaría del D. Fran cisco Arana. D. Pascual Martínez, p…</t>
  </si>
  <si>
    <t>…y demas efectos correspondientes. Y de la mbma lo comunicamos á V. para los fines que se indican; es perando aviso de su recibo. Madrid 25 de Setiembre de 1817. En el juzgado del Sr. D. Joaquín Almazan, del Consejo de S. M., primer te</t>
  </si>
  <si>
    <t>Gaceta de Madrid n.º 129</t>
  </si>
  <si>
    <t>1151</t>
  </si>
  <si>
    <t>…ernardo , parroquia de S. Lorenzo, núm. g , manz. gg, corresponde á Rosa Sevilla, publicada en la gaceta y diario de esta capital de 7 del mismo, se ha mandado por providencia del Sr. D. Joaquín Almazan, primer te niente corregidor de esta villa, dada en 22 del corriente por la escribanía del nú mero de D. Cristóbal de Vicuña, se publique por 8 dias mas, contados desde di cho dia. Quien quisiere hacer postura á la referida parte de casi acuda á dicho juz gad…</t>
  </si>
  <si>
    <t>ri&lt;$4 Por parte de D, Ramón Fernandez Duran, residente en esta corte, se ha acu dido ante el Sr. D. Joaquín Almazan, del Consejo de S. M. , teniente primero de corregidor de esta heroica villa, y escribanía del numero de D. Antonio Villa Fer nandez, exponiendo que en 24 de Julio de este ano libraron Jos señores Henrique, Francisco Broske y compañía, del comercio de Londres…</t>
  </si>
  <si>
    <t>…erjuicio que haya lugar. Se cita y emplaza á los acreedores á la quiebra de D. Pedro Biylle y compañía, para que concurran á la junta que ha de celebrarse entre los mismos ante el Sr. Don Joaquín Almazan, del Consejo de S. M., teniente corregidor de esta muy heroica villa , el dia 23 del corriente á las nueve en una de las salas de su Excmo. ayun tamiento. A voluntad de sus dueños se venden dos escribanías numerarias de la ciudad de Toledo, libres de toda car…</t>
  </si>
  <si>
    <t>Gaceta de Madrid n.º 134</t>
  </si>
  <si>
    <t>…!; pies, tasada en su actual estado, y con consi deración á la obra que hay que egecutar en ella para remeter la.fachada, en la can tidad de 75637 rs. vn. metálicos, acuda ante el Sr. D. Joaquín Almazan, del Con* sejo de S. M., teniente corregidor de esta muy heroica villa, por la escribanía de número del cargo de D. Claudio Sanz; y para el remate se ha señalado el dia^i 5 del corriente á las 12 de su mañana en la puerta de la audiencia de dicho señor tenien…</t>
  </si>
  <si>
    <t>Gaceta de Madrid n.º 135</t>
  </si>
  <si>
    <t>1212</t>
  </si>
  <si>
    <t>…de Jorge de Liorza y María de Mateo, difuntos, de la misma naturale za, para que dentro del preciso y perentorio término de 30 dias, contados desde su publicación, acudan ante el Sr. D. Joaquín Almazan, del Consejo de S. M., te niente corregidor de esta muy heroica villa, por la escribanía del numero de Don Claudio Sanz, por medio de procurador con poder bastante á deducir y exponer el que crean asistirles; bajo apercibimiento de que pasado dicho término si…</t>
  </si>
  <si>
    <t>…ha fijado el primer edicto, no hubiesen comparecido, se declarará vacante, aplicará al Real fisco y cámara, y les parará el perjuicio que haya lugar. En virtud de providencia del Sr. D. Joaquin Almazan, del Consejo de S. M., teniente de corregidor de esta muy heroica villa, refrendada del escribano del nú mero D. Tomas María Manrique, se cita, llama y emplaza por término de 30 días, contados desde esta publicación, á D. Manuel Saenz del Prado, D. Lorenzo Fe…</t>
  </si>
  <si>
    <t>…tura acuda ante dicho señor juez por la escribanía del número de D. Jacinto Gaona y Locches dentro del término de 30 días, contados desde el citado 6, En virtud de providencia del Sr. D. Joaquín Almazan, del Consejo de S. M«, teniente de corregidor de esta muy heroica villa, se cita de nuevo, llama y emplaza* á todos los acreedores á la testamentaría de D. Ramón Nadal y Guarda, vecino y del comercio que fue de esta corte, para que en el término de 60 dias, c…</t>
  </si>
  <si>
    <t>…4 rs. en el despacho de la imprenta Real. Se suscribe en dicho despacho, y en las provincias en todas las ad ministraciones principales y agregadas de correos. Por el juzgado del Sr. D. Joaquín Almazan , del Consejo de S. M., teniente primero de corregidor de esta muy heroica villa, se cít3, llama y emplaza á ios pa rientes mas inmediatos de D. Francisco Antonio Isidro Noriega de Vada, adminis trador de rentas de la ciudad de Tortosa, y que se crean con der…</t>
  </si>
  <si>
    <t>…en el mejor postor el día 9 de Diciembre próximo á las 1 2 de la mañana en It puerta de la audiencia de S. S., por ante el escribano de número D. Claudio Sanz. Por el juzgado del Sr. D. Joaquín Almazan , del Consejo de S. M., teniente corregidor de esta muy heroica villa, se cita, llama y emplaza á los acreedoicsy demas personas que se consideren con derecho ;í los bienes que quedaron por falleci miento de Juan Peran, vecino que fue de esta corte , ocurrido…</t>
  </si>
  <si>
    <t>Gaceta de Madrid n.º 144</t>
  </si>
  <si>
    <t>…s Ordenes militares á D. Pedro Miguel Lujan para la vara de alcalde may®r de la villa de Villanueva de Alcardete, de nueva creación. ■! ———————TIA. ^i En virtud de providencia del Sr. D. Joaquín Almazan, del Consejo de S. M., primer teniente corregidor de esta muy heroica villa, se cita, llama y emplaza í las personas particulares 6 comunidades en cuyo poder obren las escrituras de ven ta de dos huertas contiguas, situadas entre los dos caminos que desde Car…</t>
  </si>
  <si>
    <t>…n to recogida desde el 11. hasta el dja de su salida. Nada se pudo salvar mas de la tripulación y p.asageros ; lo que se avisa al público para su inteligencia, Por providencia del Sr. D. Joaquín Almazan, del Consejo de S. M., primer teniente corregidor de esta muy heroica villa, y escribanía del número de D. Cris tóbal de Vicuña, se ha mandado sacar í. pública subasta por término de 30 dias, contados desde&gt; 29 del pasado , la casa: de recreo propia de Ja tes…</t>
  </si>
  <si>
    <t>…en la gaceta y diario de 29 de Noviembre y i.° de Diciembre corriente; se ha vuelto á señalar para el dia 20 del corriente 4 Jas 12 de la mañana en las puertas de la audiencia del Sr. D. Joaquín Almazan, del Con sejo de M., teniente corregidor de esta muy heroica villa, por ante el escribano de número D. Ctaudio Sinz. En virtud de providencia del Sr. D. Manuel Vicente de Torres, ministro del Consejo en el supremo de Castilla, y juez interventor de la casa y…</t>
  </si>
  <si>
    <t>Gaceta de Madrid n.º 150</t>
  </si>
  <si>
    <t>1376</t>
  </si>
  <si>
    <t>…a que quisiere hacer postura á dichas casas juntas ó separadas, lo egecutará ante dicho señor juez y escribanía, donde se admitirán siendo arregladas. En virtud de providencia del Sr. D. Joaquín Almazan, del Consejo de S. M., teniente primero de corregidor de esta muy heroica villa, se vuelve á sacar á pú blica subasta por término de 15 dias mas una casa y huerta jardín sitas en la villa de Leganés, y su cálle del Nuncio, teniendo la primera 7245^ pies cuadr…</t>
  </si>
  <si>
    <t>Gaceta de Madrid n.º 151</t>
  </si>
  <si>
    <t>…esten comprendidos en el párrafo 10 , debe decir en el párra fo 12. — Véndese dicha Instrucción á 2 rs., y la Ordenanza á 6, en el despacho de la imprenta Real. En el juzgado del Sr. D. Joaquín Almazan, del Consejo de S. M., teniente primero de corregidor de esta muy heroica villa, y escribanía de D. Casimiro Anto nio Gómez, se vende con Real facultad una haza de tierra de 35 fanegas, término de la ciudad de Málaga, tasada en 49900 rs. metálicos, á que está…</t>
  </si>
  <si>
    <t>Almazan, Joaquín de</t>
  </si>
  <si>
    <t>Joaquín de Almazan</t>
  </si>
  <si>
    <t>Gaceta de Madrid n.º 7</t>
  </si>
  <si>
    <t>…spondréis lo necesario para su cumpHmíento.:=Rubrícado de la Real mano de S. M. en Palacio á n de Enero de 1817. = A D. Josef Gar cía León y Pizarro.” En virtud de providencia del Sr. D. Joaquín de Almazan, del Consejo de S. M., teniente de corregidor de esta villa, dictada á consecuencia de la comisión conferida por la suprema junta de reintegros de bienes confiscados por el Gobierno intruso, y para satisfacer las cantidades en que fia sido condenada la testam…</t>
  </si>
  <si>
    <t>…. In fantes D. Cárlos María y D. Francisco de Paula, ha venido en concederle los honores del tribunal de Contaduría mayor. A voluntad de sus dueños, y en virtud de providencia del Sr. D. Joaquín de Almazan, del Consejo de S. M., teniente corregidor de esta villa, se ha mandado sacar á pública subasta por término de 30 dias una casa sita en esta corte, calle de Leganitos, señalada con el núm. 18 de la manz. 551, y tiene de sitio 1089 pies</t>
  </si>
  <si>
    <t>…y el Estado militar de España para este año se hallarán en rústica, pasta y tafilete en el despacho de la imprenta Real. Con Real permiso de S. M., y en virtud de providencia del Sr. D. Joaquín de Almazan, teniente corregidor de esta villa, se ha mandado sacar á pública subasta</t>
  </si>
  <si>
    <t>Gaceta de Madrid n.º 18</t>
  </si>
  <si>
    <t>…e el dia 9 de Abril próximo á las 11 de su mañana en las casas donde celebra su audiencia; lo que se hace saber para que llegue á noticia del público. En virtud de providencia del Sr. D. Joaquín de Almazan , del Consejo de S. M., teniente corregidor de esta villa, su fecha 28 del pasado, se ha mandado sacar á pú blica subasta una casa sita en Ja calle de Mira el Rio alta, núm. 16, manz. 97, ta sada en 191920 rs., la cual se vende para pago de acreedores. Quien…</t>
  </si>
  <si>
    <t>Para la junta de acreedores censualistas del concurso de D. Eugenio Ahumada ha señalado el Sr. D. Joaquín de Almazan, del Consejo de S.M., teniente de cor regidor de esta villa, juez que entiende en él, el dia 11 de Mayo próximo, á las nueve de su mañana en su posada; lo que se hace saber á dichos acreedores para que concurran por sí, ó persona en su nombre con suficiente p…</t>
  </si>
  <si>
    <t>6o8 En virtud de providencia del Sr. D. Joaquín de Almazan , del Consejo de S. M., teniente corregidor de esta muy heroica villa, se cita, llama y emplaza á los parien tes y demas personas que intenten tener derecho á los bienes de D. Bruno Cabra!, que falleció en esta corte el dia 26 de Mayo de 1812 abintestato, par…</t>
  </si>
  <si>
    <t>640</t>
  </si>
  <si>
    <t>…a y emplaza á todos los acreedores á la testamenta ría de Dona Donata González, viuda que fue de D. A.ntonio Adeva y Osorio, pa ra que en el término de 30 dias comparezcan ante el Sr. D. Joaquín de Almazan, dei Consejo de S. M., teniente corregidor de esta heroica villa, y escribanía del nú mero del cargo de D. Bernardo Diaz de Antoñana , donde se halla radicada dicha testamentaría, á fin de que legitimando sus créditos usen del derecho que les asista; apercibi…</t>
  </si>
  <si>
    <t>…e de 1810, la que llevarán los rres seglares pendiente del ojal de la casa ca, y del cuello el eclesiástico, de una cinta verde con extremos carmines. En virtud de providencia del Sr. D. Joaquín de Almazan, del Consejo de S. M., teniente corregidor de esta villa, se ha mandado sacar á pública subasta por térmi no de 20 dias, contados desde 3 del corriente, una casa sita en esta corte, calle de Mira el Rio alta, señalada con el núm. 16 de la manz. 97, retasada ú…</t>
  </si>
  <si>
    <t>Gaceta de Madrid n.º 86</t>
  </si>
  <si>
    <t>…ado sin haberlo verificado se procederá á la almoneda de los bienes inventariados y tasados, y les parará el perjuicio que haya lugar. En virtud de Real facultad y providencia del Sr. D. Joaquín de Almazan, del Consejo de S. M., teniente corregidor de esta heroica villa, para reparar una finca de cierto mayorazgo, se han mandado sacar á publica subasta por término de 30 días 70 aranzadas de viña, de tierra de pan llevar, un solar de casa, 2fanegas y unas casas…</t>
  </si>
  <si>
    <t>Gaceta de Madrid n.º 91</t>
  </si>
  <si>
    <t>…pio Sinués, de las de Aragón , y el séptimo vocal, secretario D. Manuel Damian Perez, de las de Solan de Cabras y Alcantud en dicha Castilla la Nueva. En virtud de providencia del Sr. D. Joaquín de Almazan , del Consejo de S. M., teniente corregidor de esta heroica villa de Madrid, se ha mandado sacar nuevamen te í pública subasta por término de 15 dias varias fincas sitas en la villa de Pinto y su término, pertenecientes i las testamentarías de D. Pedro López…</t>
  </si>
  <si>
    <t>Almazan, Joaquin de</t>
  </si>
  <si>
    <t>Joaquin de Almazan</t>
  </si>
  <si>
    <t>1036 la villa de Sta. María la Real de Nieva para celebrar un mercado todos los viernes de cada semana. El Sr. D. Joaquin de Almazan , del Consejo de S. M., teniente primero de cor regidor de esta villa, y por la escribanía del número de D. Antonio López Saiazar, ha señalado para la celebración de junta general de acreedores á la casa de D, Pe dro María Daudinot y compañía el dia 1 2 de Oc…</t>
  </si>
  <si>
    <t>…e accederá á la entrega que de ellos se solicita por parte de D. Manuel Sánchez Toscano, y á lo demas que corresponda , y les parará entero perjuicio. En virtud de providencia del Sr. D. Joaquin de Almazan, del Consejo de S. M. , teniente de corregidor de esta heroica villa , se ha mandado sacar á pública subasta por término de 30 dias una huerta sita en término del lugar de Villaverde, de esta jurisdicción, y sitio que llaman Prado Caballo, que parte está de h…</t>
  </si>
  <si>
    <t>Gaceta de Madrid n.º 122</t>
  </si>
  <si>
    <t>…3277, 4334211 433439,433?57» 4339* *. 434254&gt; 434382 *435837» 437611 y 438643, que se hallan detenidos por reclamación de la Excma. Sra. Do ña María Antonia Mozo en el juzgado del Sr. D. Joaquín de Almazan , teniente corregidor de esta villa, y escribanía del número de D. Casimiro Antonio Gómez, para que dentro de 30 dias, contados desde 7 del corriente , acudan ante S. S. á de cir en este asunto lo que les convenga de su derecho y justicia, que si lo hicieren…</t>
  </si>
  <si>
    <t>Noticia política o diplomática</t>
  </si>
  <si>
    <t>…se ha mandado publicar por 15 dias mas*, en su consecuencia se ha señalado para el segundo remate el dia 25 del corriente á las 12 de la mañana en las puertas de la audiencia del Sr. D. Joaquín de Almazan, primer teniente corregidor de esta villa, por ante D. Claudio Sanz, escribano del número, y se admitirán las mejoras que se hiciesen. Se desea saber el paradero de D. Gregorio Cortes y Sanz, oficial primero del cuerpo del ministerio de Marina, y contador en…</t>
  </si>
  <si>
    <t>Gaceta de Madrid n.º 131</t>
  </si>
  <si>
    <t>…nidad, por cuyo medio y la exacta observancia de las providencias consiguientes conti núa la España libre del mas terrible de los azotes que afligen al género humano. Por auto del Sr. D. Joaquín de Almazan,teniente corregidor de esta villa,se cita y emplaza á todos los acreedores, censualistas y demas personas que se crean con derecho á la casa solar, que en la calle del Mesón de Paños de esta corte está seña lada con el número 2 de la manzana 416, pertenecient…</t>
  </si>
  <si>
    <t>Gaceta de Madrid n.º 137</t>
  </si>
  <si>
    <t>1240</t>
  </si>
  <si>
    <t>…Claramonte guia á Carabanchel alto , y por norte con dicho arroyo, tasada en 39$) rs.; se ha señalado el viernes 21 del presente mes de doce á una de su mañana en la audiencia del Sr. D. Joaquín de Almazan, del Con sejo de S. M., teniente de corregidor de esta muy heroica villa. Las personas que quieran hacer postura acudan ante dicho señor juez, y escribanía del número de D. Bernardo Diaz Antoñana , donde se admitirán las que se hiceren siendo arregla das ; pr…</t>
  </si>
  <si>
    <t>Gaceta de Madrid n.º 147</t>
  </si>
  <si>
    <t>…secretaría del Emo. Sr. cardenal patriarca de las Indias en el término de 40 días, que fe necerán en 10 de Enero de 1818. A voluntad de sus dueños , y en virtud de providencia del Sr. D. Joaquín de Almazan , del Consejo de S. M., teniente corregidor de esta muy heroica villa', su fecha 5 dét corriente v refrendada del escribano del número D. Alejandro Gutiérrez, se ha mandado sacar á pública subasta una casa sita en la calle del Fúcar, barrios de Jesús Nazareno…</t>
  </si>
  <si>
    <t>Almazan, Josef</t>
  </si>
  <si>
    <t>Josef Almazan</t>
  </si>
  <si>
    <t>…anas , costuras y bordados, parte de la lección de catecismo, y el principio de la de música y piano, dignándose oir á una educanda que cantó, acompañándola el profesor de la casa D. Josef Almazan. Vio todas las oficinas interiores, y se penetró del buen orden, re gularidad , aseo, compostura y caridad con que se practican los objetos de beneficencia dentro y fuera de la casa, satisfaciendo á las oportunas pregun tas que hizo S. M. D. Rafael Escovar, c…</t>
  </si>
  <si>
    <t>Almeida, Manuel Rodríguez</t>
  </si>
  <si>
    <t>Manuel Rodríguez Almeida</t>
  </si>
  <si>
    <t>…Fueron examinados en aritmética Don Felipe Martínez , D. Antonio Ramón Zarneza, D. Joaquín Clavareza, Don Manuel María Ribero, D. Manuel Diaz, D. Vicente Rey, D. Anronio de Prado, D. Manuel Rodríguez Almeida, D. Fermín del Pedregal y D. Ra món Casal. En álgebra D. Josef Pujadas y D. Fermín Galccran. En geometría el citado Martínez , D. Josef María Loureiro, D. Manuel María Vicario , Don Cosme Arias, D. Josef Alonso, D. Benito Pereira, D. Florencio Pereira, D. Jua…</t>
  </si>
  <si>
    <t>Almirantazgo, Secretario del Consejo de</t>
  </si>
  <si>
    <t>Secretario del Consejo de Almirantazgo</t>
  </si>
  <si>
    <t>…avará mas y mas si todavía no bastase esto para contener se mejantes escandalosos excesos. Dios guarde á V. S. muchos años. Palacio 10 de Abril de i8i7. = Josef Vázquez Figueroa. =Sr. Secretario del Consejo de Almirantazgo. 2.a El Real decreto de 20 de Febrero último , por el cual ha tenido S. M. á bien resolver que aquellos matriculados que sin deserción y con buena con ducta hubiesen servido en los Reales bageles y arsenales el tiempo de ocho años queden exentos de volver al…</t>
  </si>
  <si>
    <t>…rno, y que libre las con ducentes á su notoriedad y cumplimiento en la armada. Dios guarde á V. S. muchos años. Palacio 26 de Abril de 1817. = Josef Vázquez Figueroa.=Rubricado. = Sr. Secretario del Consejo de Almirantazgo. El Rey nuestro Señor se ha servido conceder su Real permiso á D. Pros pero Amador García y á D. Francisco Alonso Viado, vecinos de la Havana, para usar de la condecoración de la flor de Lis con que los ha agraciado S. M. Cristianísima. Asimismo ha concedido…</t>
  </si>
  <si>
    <t>Almirantazgo, Secretario del Consejo del</t>
  </si>
  <si>
    <t>Secretario del Consejo del Almirantazgo</t>
  </si>
  <si>
    <t>…cubierto. Prevéngolo á V. S. de Real orden á los fines convenientes, y correspon diente circulación en la armada. Dios guarde á V. S. muchos años. Palacio 22 de Octubre de i8i7. = Sr. Secretario del Consejo del Almirantazgo. Quien quisiere hacer postura á una casa sita en la calle de Capellanes, núm. 5, manz. 384, que tiene de sitio 1895!; pies, tasada en su actual estado, y con consi deración á la obra que hay que egecutar en ella para remeter la.fachada, en la can tidad de 756…</t>
  </si>
  <si>
    <t>Almirantazgo, Secretario del Consejo y Cámara del</t>
  </si>
  <si>
    <t>Secretario del Consejo y Cámara del Almirantazgo</t>
  </si>
  <si>
    <t>…n comunico á V. S. para conoci miento de ese supremo tribunal, y su circulación en la armada. Dios guarde á V. S. muchos años. Palacio 24 de Mayo de 18 17.=Josef Vázquez Figueroa =Señor Secretario del Consejo y Cámara del Almirantazgo.</t>
  </si>
  <si>
    <t>Almmtt, Joaquín</t>
  </si>
  <si>
    <t>Joaquín Almmtt</t>
  </si>
  <si>
    <t>128o Por providencia del Sr. D. Joaquín Almmtt, del Consejo ele S. M., y teniente de corregidor de esta muy heroica villa, con fecha 6 del corriente, se ha mandada sacar á pública subasta una casa sita en esta corte y su calle del Norte, núm. io, de Ja manz. 513, tasada en la cantidad de 11213 a rs. y 10…</t>
  </si>
  <si>
    <t>Alonrso, Miguel</t>
  </si>
  <si>
    <t>Miguel Alonrso</t>
  </si>
  <si>
    <t>…, D. Tomas Asensio, D. Mateo Rodriguez, D. Valentín Ga veta, D. Pedro Martin, D. Antonio Fernandez, D. Andrés Redondo, Don Federico Movilla, D. Bernardo Huelga, D. Esteban Blanco, D. Miguel Alonrso, D. Cesáreo Viguera, D. Miguel Chana, D. Antonio Castro, D. Toribio González, D. Santiago Alonso, D. Tomas Pardo, D. Ignacio Ojero, Don Fernando Movilla, D. Manuel Gómez, D. Francisco Rodriguez, D. Alvaro Chaves, D. Fernando García, D. Bernardino Lorenzo y D.…</t>
  </si>
  <si>
    <t>Alonso</t>
  </si>
  <si>
    <t>Gaceta de Madrid n.º 139</t>
  </si>
  <si>
    <t>…vicios introducidos en la poesía castellana, por D. Juan Pablo Forner, á i\ rs.—Lección poética, sátira sobre el mismo asunto, por Don Meliton Fernandez, á 2§ rs. —Elogio del Rey D. Alonso el Sabio, por D. Josef de Vargas y Ponce, á 2§ rs. —Elogio de D. Alonso Tostado, obispo de Avila, por D. Josef de Viera y Clavijo, á 2§ rs.__Elogio del Excmo. Sr. marques de San ta Cruz, escrito por D. Nicasio Alvarez de Cienfuegos, á real y medio en papel._:…</t>
  </si>
  <si>
    <t>Alonso, Josef</t>
  </si>
  <si>
    <t>Josef Alonso</t>
  </si>
  <si>
    <t>…Pedregal y D. Ra món Casal. En álgebra D. Josef Pujadas y D. Fermín Galccran. En geometría el citado Martínez , D. Josef María Loureiro, D. Manuel María Vicario , Don Cosme Arias, D. Josef Alonso, D. Benito Pereira, D. Florencio Pereira, D. Juan Francisco Rodríguez, D. Josef Vicente Veiga, D. Joseí Abad y D. Gregorio Cancela. En trigonometría plana los mismos Martínez , Lourei ro, Galceran, Vicario, Arias, Pujadas, Cancela , D. Benito y D. Florencio P…</t>
  </si>
  <si>
    <t>Alonso, Santiago</t>
  </si>
  <si>
    <t>Santiago Alonso</t>
  </si>
  <si>
    <t>…ez, D. Andrés Redondo, Don Federico Movilla, D. Bernardo Huelga, D. Esteban Blanco, D. Miguel Alonrso, D. Cesáreo Viguera, D. Miguel Chana, D. Antonio Castro, D. Toribio González, D. Santiago Alonso, D. Tomas Pardo, D. Ignacio Ojero, Don Fernando Movilla, D. Manuel Gómez, D. Francisco Rodriguez, D. Alvaro Chaves, D. Fernando García, D. Bernardino Lorenzo y D. Luis de León. El R. P. prior de Sto. Domingo demostró en un discurso que sin la reliion, virtud…</t>
  </si>
  <si>
    <t>Althory</t>
  </si>
  <si>
    <t>PDF p. 3</t>
  </si>
  <si>
    <t>…LOS COMUNES. Sesión del 20. La cámara de los Pares comunico á la de los Comunes , que había adop tado el proyecto de ley relativo á la suspensión del habeas corpas. A petición del lord Althory y de Mr. Ponsonby determinó la Cámara que no se leyese todavía el proyecto de ley sobre el mismo asunto, hasta oir el informe de la comisión. Diversos individuos presentaron peticiones contra esta suspensión. Mr. Brugge Bathurst entró en la Cámara, y presentó…</t>
  </si>
  <si>
    <t>Áltnazan, Joaquín</t>
  </si>
  <si>
    <t>Joaquín Áltnazan</t>
  </si>
  <si>
    <t>…, se cita y emplaza á los que seah acreedores á él, para que dentro de 15 días, con tados desde hoy, en que se incluyen tres términos, y el último perentorio, com parezcan ante el Sr. D. Joaquín Áltnazan, del Consejo de S. M., teniente corregi dor de esta villa, y por la escribanía de su número que egerce D. Juan Raya, á usar de su derecho; apercibidos que pasados sin haberlo hecho , se sustanciarán los autos en su ausencia y rebeldía, y determinarán sin mas…</t>
  </si>
  <si>
    <t>Altnazan, Joaquín</t>
  </si>
  <si>
    <t>Joaquín Altnazan</t>
  </si>
  <si>
    <t>Gaceta de Madrid n.º 118</t>
  </si>
  <si>
    <t>…e caber 4 fanegas y cuartilla, en 1275; y otra en Valdelacasa, que fue viña, lin de con tierra de D. Julián de Toro, en 812 rs. 17 mrs. Quien quisiere hacer pos tura acuda ante el Sr. D. Joaquín Altnazan, del Consejo de S. M., y teniente pri mero de corregidor de esta villa, por la escribanía del numero que egerce Don Juan Raya. Instituí iones medicae, seu physiologia ef patologiae, ad usum scholae Valentinae: auctore Dr. Andreae Piquerii &amp;c.: tercera edición…</t>
  </si>
  <si>
    <t>Alurilio, Bartolomé</t>
  </si>
  <si>
    <t>Bartolomé Alurilio</t>
  </si>
  <si>
    <t>…16 rs. en pasta y 1 2 en rústica. En el almacén de estampas de la calle Mayor, frente á la casa de Oñate, se vende la estampa de las Gallegas risueñas, copia del célebre cuadro de D. Bartolomé Alurilio, grabada en medio pliego de marca mayor por D. Joaquín Ballester, á 10 rs. cada una: igualmente la estampa de S. Antonio Abad, en cuartilla de marca mayor, por D. Manuel Albuerne, con otras muchas de este tamaño que forman colección de varios santos y santas,…</t>
  </si>
  <si>
    <t>Alva, Mariano</t>
  </si>
  <si>
    <t>Mariano Alva</t>
  </si>
  <si>
    <t>…ue pasado dicho término sin haber comparecido, se dará la providencia que corresponda, y le parará el perjuicio que haya lugar. Manifiesto de cuanto sucedió al Excmo. Sr. teniente general D. Mariano Alva rez de Castro, gobernador de la plaza de Gerona desde que quedó prisionero de guerra en ella hasta su fallecimiento en el castillo de S. Fernando de Figueras, con un compendio de la vida de S. E., relación de sus distinguidos servicios, y noticia de lo practi…</t>
  </si>
  <si>
    <t>Alvarez</t>
  </si>
  <si>
    <t>566</t>
  </si>
  <si>
    <t>…los fardos que llevaba robados. „ El 29 llegué á este cuartel sin mas novedad que la de habérseme decla rado una fiebre maligna, que me había privado de dar á V. el presente. „El capitán Alvarez, teniente Ximenez y 11 de los 20 prisioneros que dan pasados por las armas en los respectivos lugares donde cometieron sus asesinatos. Las mugeres de los rebeldes quedan distribuidas en varias casas honradas en depósito, y cuando convenga las remitiré á los l…</t>
  </si>
  <si>
    <t>Gaceta de Madrid n.º 140</t>
  </si>
  <si>
    <t>…zo 7 de 1B17. sExce lentísimo Sr. = Ciríaco de Llano. = Excmo. Sr. virey D. Juan Ruiz de Apodaca.” El Excmo. Sr. virey se ha servido aprobar el perdón de la vida conce dido por el Sr. Alvarez á los prisioneros, y espera la relación circunstancia da de la acción para premiar como corresponde á los que se han distinguido en ella. Toledo 16 de Octubre. La sociedad económica de esta ciudad, deseando solemnizar el cumple años del Rey nuestro Señor , ce…</t>
  </si>
  <si>
    <t>Alvarez, Agustín</t>
  </si>
  <si>
    <t>Agustín Alvarez</t>
  </si>
  <si>
    <t>Gaceta de Madrid n.º 114</t>
  </si>
  <si>
    <t>…o: un tomo en 4.0, impreso en 1790. Se hallará en papel á 10 reales en el almacén de la imprenta Real. Martirologio romano, publicado por orden del Papa Gregorio xm, traducido por D. Agustín Alvarez: un tomo en 8.° marquilla, impreso en 1791. Véndese á ■10 rs. en papel en el referido almacén. EN LA IMPRENTA REAL.</t>
  </si>
  <si>
    <t>Alvarez, Antonio</t>
  </si>
  <si>
    <t>Antonio Alvarez</t>
  </si>
  <si>
    <t>Gaceta de Madrid n.º 35</t>
  </si>
  <si>
    <t>320</t>
  </si>
  <si>
    <t>…r. En virtud de providencia del Sr. D. León de la Cámara Cano, del Consejo de S. M., teniente corregidor, y corregidor interino de esta villa de Madrid, se cita, llama y emplaza á D. Antonio Alvarez, cuyo domicilio se ignora, como último tenedor de seis vales Reales de 150 pesos, creación de Enero de 1808, números 275629, 277957, 278575, 308647, 333485 y 262044, que.se hallan reclama dos, para que dentro de 30 dias, contados desde esta publicación, acuda…</t>
  </si>
  <si>
    <t>Alvarez, Antonio Julián</t>
  </si>
  <si>
    <t>Antonio Julián Alvarez</t>
  </si>
  <si>
    <t>…ernández de Alba, oidor de la au diencia de Puerto-Príncipe; D. Martin Gil y Garcés, deán de la catedral de Valladolid de Mechoacan; al capitán de navio D. Juan Jacinto de Vargas; D. Antonio Julián Alvarez, oidor de la audiencia de Puerto-Príncipe; Don Mariano Ruiz de Navainuel, dignidad de la catedral de Chile; D. Francisco Pablo Vázquez , dignidad de la catedral de Puebla de los Angeles; D. Pe dro Perez Muñoz, vecino de Quito; D. Mateo de Agüero Marcos, secre…</t>
  </si>
  <si>
    <t>Alvarez, Bernardo González</t>
  </si>
  <si>
    <t>Bernardo González Alvarez</t>
  </si>
  <si>
    <t>…ra, y besar su Real mano una diputa ción del mismo, compuesta del limo. Sr. D. Josef Joaquín Colon, del Con sejo y Cámara de S. M., su presidente , D„ Leonardo Gil de la Cuesta, y Don Bernardo González Alvarez, fiscal y procurador general, y de los cuatro caballeros D. Josef Hidalgo, D. Miguel Lujan, D. Bartolomé Ortiz de Paz y D. Amaro García Olalla, que representaban las cuatro sierras nevadas ó partidos de Soria, Cuenca, Segovia y León de que se compone dicho ho…</t>
  </si>
  <si>
    <t>Alvarez, Josef Antonio</t>
  </si>
  <si>
    <t>Josef Antonio Alvarez</t>
  </si>
  <si>
    <t>…oche fueron contestados estos, asegurándome que bien podían pasar los eclesiásticos que proponia ew dichos oficios. ,, Al amanecer de este día dispuse que vinieran los presbíteros D. Josef Antonio Alvarez y D. Ignacio Ortiz á conferenciar con dicho Urtiz, y á asegurarle la protección del Gobierno, como se le ofrecia en los referidos oficios. ,,En el camino encontraron dichos presbíteros ese parte que acompaño á V. S., habiendo visto por él con gran sentimiento mío que el rebelde…</t>
  </si>
  <si>
    <t>Alvarez, Melchor</t>
  </si>
  <si>
    <t>Melchor Alvarez</t>
  </si>
  <si>
    <t>…Señor á los que se han distin guido en ella. TOMA. DEL FUERTE DE SILACAYOAPAN. Oficio del brigadier D. Ciríaco de Llano. ,,Excmo. Sr.: Las repetidas prevenciones hechas por mí al brigadier Don Melchor Alvarez para que se agitasen cuafito fuese dable las operaciones con tra el fuerte enemigo de Silacayoapan, y de que oportunamente he dado á la superioridad de V. E. el correspondiente y debido conocimiento , hnn tenido efecto en ios términos que me participa aquel g…</t>
  </si>
  <si>
    <t>Alvaro, Frutos</t>
  </si>
  <si>
    <t>Frutos Alvaro</t>
  </si>
  <si>
    <t>…, y separadamente las casas del cura y un teniente, y los habitantes y huérfanos. Los facultativos que gus ten hacer pretensión á dicho ministerio podrán dirigir los memoriales al alcalde Don Frutos Alvaro de las Heras. En la villa de Cebreros del Rey, provincia de Avila de los Caballeros, cuya po blación es de 550 vecinos, se halla vacante el partido de sangrador y barbero, y por su-desempeño tiene la asignación de ocho rs. diarios pagados mensualmente por su…</t>
  </si>
  <si>
    <t>Amadeu, Raimundo</t>
  </si>
  <si>
    <t>Raimundo Amadeu</t>
  </si>
  <si>
    <t>…e á S. Felipe el Real. Estampa nueva de S. Mariano, protector de arrepentidos, que se venera en la iglesia de carmelitas descalzos de Barcelona, y es copia de la estatua hecha por Don Raimundo Amadeu, académico de la Real de S. Fernando, grabada por D. Fran cisco Fontanals, examinado de mérito en la Real academia de S. Carlos de Valen cia. Se hallará en la procuración general de los padres carmelitas descalzos de Ma drid, y en la portería de S. Josef de B…</t>
  </si>
  <si>
    <t>Amador, Juan</t>
  </si>
  <si>
    <t>Juan Amador</t>
  </si>
  <si>
    <t>te que me ha dirigido el capitán del regimiento de mi cargo D. Juan Amador, relativo á la muerte que dio al titulado coronel de rebeldes Ramón Llamas, y derrota de la partida que mandaba. „Rt*comiendo á V. E. la actividad del expresado oficial, ai capitán gra duado D. Juan María del Valle, que mandaba la partida que logró esta ven t…</t>
  </si>
  <si>
    <t>Amados, Claudio</t>
  </si>
  <si>
    <t>Claudio Amados</t>
  </si>
  <si>
    <t>284</t>
  </si>
  <si>
    <t>…inidad nuevamente establecida, y de los niños y niñas de las tres escuelas existentes en esta villa. Presentáronse á examen 70 niños en la escuela dotada por la villa al car go de D. Claudio Amados: 67 de la gratuita establecida en el convento bajo la dirección del P. Fr. Antonio Ocaña, del orden de S. Francisco: 16 en la cíase de gramática, asistidos de su maestro el P. Fr. Ramón Navia., de la misma orden; y 90 niñas instruidas por su maestra Doña Cris…</t>
  </si>
  <si>
    <t>Amar, Francisco</t>
  </si>
  <si>
    <t>Francisco Amar</t>
  </si>
  <si>
    <t>…, deán de la de Lugo. Honores de conjueces del tribunal apostólico y Real de la gracia del Ex cusado á D. Mateo Jara , canónigo tesorero de la santa iglesia catedral de Co ria : á D. Francisco Amar, canónigo de la metropolitana de Zaragoza: á Don Francisco Castilla, deán de la catedral de Badajoz: á D. Juan Antonio Prada, canónigo tesorero de la metrepolitana de Sevilla; y á D. Diego de la Torre, canónigo de la santa iglesia primada de Toledo. Plaza de…</t>
  </si>
  <si>
    <t>Amat, Félix</t>
  </si>
  <si>
    <t>Félix Amat</t>
  </si>
  <si>
    <t>…rtes en España por el Sr. Cean, antigüedades árabes y otras estampas que están ya anunciadas al público. Historia eclesiástica, ó tratado de la Iglesia de Jesucristo, por el limo. Sr. Don Félix Amat, arzobispo de Palmira &amp;c., en 13 tomos en 4.0 Se hallará con el tomo suelto de los tres índices, y el otro del resúmen, en la librería de la viuda de Quiroga, calle de las Carretas, y en Barcelona en la de Sierra, zr Los seis libros de la retórica eclesiástic…</t>
  </si>
  <si>
    <t>Amatriain, Juan Francisco</t>
  </si>
  <si>
    <t>Juan Francisco Amatriain</t>
  </si>
  <si>
    <t>…as de la ciudad de Toledo , para Solan de Cabras: Don Carlos Martin del Romeral, establecido en esta corte, para Puertollano: en Castilla la Vieja D. Pablo Montesino para Ledesma: D. Juan Francisco Amatriain para Arnedillo: en Aragón D. Manuel Arranz , médico de la villa de Aranda de Duero,para Quinto: D. Ramón Marsonell, médico de Ateca, partido de Calatayud, para Alama: D. Antonio Turvica, médico de Iruecha , paraTiermas: D Bartolomé Sierra , médico titular de…</t>
  </si>
  <si>
    <t>Ambite, Clara</t>
  </si>
  <si>
    <t>Clara Ambite</t>
  </si>
  <si>
    <t>…orio Sánchez, viuda de ísern é hijo, D. Pedro de Castro, Sres. Lavin y hermano, D. Manuel Ramón de Viilachica, D. Manuel Francisco Aguirre é hijos, D. Vicente Carrasco y Fominaya, Doña Clara Ambite, Juan Antonio Morera, D. Josef Sala y Cam, D. Ig nacio de Arellana, D. Francisco Bolart y Goma, D. Josef Bruquera y Castell, Don Francisco Argel é hijos, y D. Lorenzo Carballo de Ledesma, para que en el preciso y perentorio término de 30 dias, contados desde…</t>
  </si>
  <si>
    <t>Ambros, Simón</t>
  </si>
  <si>
    <t>Simón Ambros</t>
  </si>
  <si>
    <t>…sos de que el suyo fuese el mas atacado, y disputándose la preferencia en los mayores riesgos, cuyo ardor contuve obligándolos á permanecer en los siguientes: al alférez de Zamora D. Simón Ambros en el baluarte de S. Fer nando, objeto de mayor peligro, junto con el cadete del mismo cuerpo Don Fél ix Surbaran, que se porro y trabajó con la mayor serenidad; al tenien te del mismo D. Juan del Villar, destinado á las salidas en la torre, tam bién blanco d…</t>
  </si>
  <si>
    <t>Ameil</t>
  </si>
  <si>
    <t>…A. I. el gran duque de Toscana, encargado por su Soberano de pedir la mano de S. A. R. la Princesa María, hija tercera del Príncipe Maximiliano. ALEMANIA. Hannéver 2 de Agosto. El general Ameil, que estaba arrestado hace un año en Hildesheim, ha</t>
  </si>
  <si>
    <t>Ametller, Blas</t>
  </si>
  <si>
    <t>Blas Ametller</t>
  </si>
  <si>
    <t>…én de la imprenta Real. En el almacén de estampas de la calle Mayor, frente á la casa del conde de Oñate, se vende el Niño Dios, dibujado y grabado en cuartilla de marca mayor por D. Blas Ametller, grabador de cámara de S. M.: igualmente S. Juan Bautista de igual tamaño, por el mismo Ametller, á 6 rs. cada una con aprobación de la Real academia de S. Fernando. Hay otras muchas de santos y santas de la mayor devoción de este tamaño á 3 rs. cada una, y d…</t>
  </si>
  <si>
    <t>Amherst</t>
  </si>
  <si>
    <t>…dos Cámaras del parlamento para suspender temporalmente la célebre acta llamada Habeas corpus. Las cartas de Cantón, recibidas en Gibraltar por un buque anglo-amerícano, dicen que lord Amherst, embajador extraordinario cerca de la corte de China , desembarcó felizmente con su comitiva en Tiensing el 26 de Julio, habiéndose encaminado en seguida á Pekín, donde todavía residían en el mes de Setiembre, sin haberse recibido noticia del progreso de las…</t>
  </si>
  <si>
    <t>Gaceta de Madrid n.º 39</t>
  </si>
  <si>
    <t>…„El estado presente de nuestras relaciones con la China nos parece un asunto digno de la mas seria atención. Las noticias que circulan convienen en el mal éxito de la embajada de lord Amherst, como también en el combate entre la fragata Alcestes y los fuertes inmediatos á Cantón. El C-ourier ase gura que estos dos acontecimientos no se han comunicado todavía de oficio á los ministros; pero no obstante han obtenido considerable crédito, y si son ci…</t>
  </si>
  <si>
    <t>PDF p. 2</t>
  </si>
  <si>
    <t>34-6 cfdencia en el mismo tiempo puede hacer mas difícil su composición que ‘sí se hubieran presentado separadamente al Gobierno chino. ,,Con respecto al lord Amherst es de notar que ni S. E. ni persona al guna de u comiiiva habían vuelto de la capital á Cantón á la fecha de los últimos avisos, y tal vez se fundarán las cartas que hemos visto en las noti cias corrientes entonces entre los europeos de aquella plaza, donde s…</t>
  </si>
  <si>
    <t>Gaceta de Madrid n.º 43</t>
  </si>
  <si>
    <t>…de la China ha publicado cinco edictos sobre la desave nencia ocurrida con la embajada inglesa. Los agravios se fundan principalmen te en dos puntos: primero, en la orden dada por lord Amherst de ponerse en camino luego que todos desembarcasen, sin pedir de antemano permiso al Gobierno chino; esta falta de miramiento fue considerada como la causa del combate en el rio de Cantón. El segundo , que ha parecido menos imperdo nable, es la poca disposici…</t>
  </si>
  <si>
    <t>Gaceta de Madrid n.º 59</t>
  </si>
  <si>
    <t>…ta ceremonia, mayormente cuando se hallan débiles sus fuerzas. Los buques nombrados el Dorsetshire y el Real Jorge, que estaban de tenidos en nuestros puertos esperando pliegos de lord Amherst, han dado por fin la vela. El Asia , destinado para Bombay, debió partir ayer. Nuestras relaciones con la China parece que experimentan ciertas difi cultades. El comercio dicen que se halla todo parado, y que los buques de la compañía, que se hallaban en Cant…</t>
  </si>
  <si>
    <t>Gaceta de Madrid n.º 68</t>
  </si>
  <si>
    <t>579</t>
  </si>
  <si>
    <t>…omo apó crifa la carta autógrafa que se ha insertado en varios papeles alemanes diri gida por el Emperador á la muger de Ney. GRAN BRETAÑA. Londres de Mayo. Escriben de Cantón que lord Amherst y todas las personas empleadas en aquella embajada debían embarcarse del 20 al 24 de Enero en la fragata Alcestes para regresar á Inglaterra; y en consecuencia es probable que llegue de un dia á otro. Aunque la embajada no fue admitida en la corte se la trató…</t>
  </si>
  <si>
    <t>la resolución de lord Amherst en no querer someterse á él ha producido una impresión favorable en los chinos, lo cual, junto con la firmeza del coman dante de la Alcestes, contribuirá tai vez á hacer que se nos respete mas en aquel imperio. El valor del café exportado de Inglaterra en 181…</t>
  </si>
  <si>
    <t>…ero, y solo llevaba en la cabeza una peluca de cerda. El 18 de Febrero último se fue á pique en el estrecho de Gaspar'la fra gata Alcestes, que volvía á Inglaterra, conduciendo al lord Amherst y de mas personas de la embajada de China, de las cuales ninguna ha perecido. Lord Amherst y su hijo se vieron en el mayor peligro, pues habiendo en trado en una canoa estuvieron navegando 6 dias, expuestos á mil contra tiempos, hasta que al fin llegaron feli…</t>
  </si>
  <si>
    <t>3010</t>
  </si>
  <si>
    <t>…solo parto cua tro niños, tres varones y una hembra, todos los cuales están buenos y ro bustos. Se asegura que se está imprimiendo en un tomo en 4.0 la relación de la embajada de lord Amherst á la China; mas entre tanto que se publica no dejará de leerse con gusto la siguiente noticia de ella. Lord Amherst dio la vela en Pommouth el 9 de Febrero de 1816 á bordo de la fragata Alcestes acompañada del bergantín la Lina,y de la nao de la compañía de l…</t>
  </si>
  <si>
    <t>…los restos del Alcestes acudieron á Palo-Leal, y los tenían como si tiados, pero sin acometerlos por miedo á las armas de fuego. Por fin llegados que fueron felizmente á Batavia, lord Amherst se embarcó en el Cesar para regresar á Inglaterra. La embajada, durante su víage por el interior de la China, no pudo ad quirir sino pocas noticias del pais. El común de la nación parece que con serva todavía la misma aversión á todas las innovaciones, y se g…</t>
  </si>
  <si>
    <t>An</t>
  </si>
  <si>
    <t>61</t>
  </si>
  <si>
    <t>…nio Sala, teniente de la compañía de realistas fieles del mismo partido, que hace de síndico, y el capitán retirado D. Josef Antonio Quintero, y el capitán comandante de las armas D. An tonio de Alias y Franco, á quienes el. público nombró el dia de ayer, des pués de haberse publicado el bando del Excmo. Sr. virey de este reino de 24 de Mayo último para que asistiesen á este acto; estando juntos y con gregados en la casa del primero se leyó…</t>
  </si>
  <si>
    <t>…mar se sujeta, y llega en derechura á su destino^’ El primer barco de vapor que se vio en el Támesis salió de Escocia en un tiempo muy borrascoso___ No hace todavía un año que el caballero An driel , habiendo salido de Londres en uno de estos barcos, llegó á París des pués de haber atravesado el mar luchando con el mas impetuoso viento; y de resultas de esra feliz navegación le concedió el Gobierno francés un privi legio exclusivo por 15 años para…</t>
  </si>
  <si>
    <t>…cisitudes pasadas, lograron llevar al cabo sus altos designios con el nombramiento y habilitación de los doce seminaristas señalados en la fundación, el de rector en el presbítero D. An gel Ortiz, y el de director y maestro de humanidades en Fr. Saturio deYunclillos del convento, de los padres descalzos de esta villa, bien conocido en ella por los progresos de su enseñanza pública en los exámenes celebrados en el año próximo pasado en la ref…</t>
  </si>
  <si>
    <t>744</t>
  </si>
  <si>
    <t>…iastla el teniente coronel D. Saturnino Samaniego, relativo á los movimientos que de su orden hizo sobre los rebel des hacia Sta. Gertrudis y Chazumba el ayudante de su regimiento D. An tonio López,y sus buenos resultados, por lo cual recomiendo á V. E. á este oficiaí y tropa que le acompañó, igualmente que al expresado gefe por sus acertadas disposiciones. A este le prevengo con esta fecha , que respecto á los cabecillas y sus secuaces apre…</t>
  </si>
  <si>
    <t>1201</t>
  </si>
  <si>
    <t>…xpediciones ha consistido en un sargento muerto, un subteniente herido, y 6 soldados de todas armas; y á no ser por el in cidente desgraciado del segundo ayudante del estado mayor general D. An tonio Sevane, que por haberse separado del escuadrón de húsares en Tiscana con un sargento, un cabo y 4 soldados con objeto de llegar cuanto antes á mi cuartel general, y darme noticia de lo acaecido, pues desde su salida con la división del coronel Centeno n…</t>
  </si>
  <si>
    <t>Gaceta de Madrid n.º 136</t>
  </si>
  <si>
    <t>…ón de Ja Lis con que le ha agraciado S. M. Cristianísima por su constante adhesión á la augusta casa de los Borbones. El Rey nuestro Señor se ha servido conceder su Real permiso á D. An tonio de Mota para poder usar de la condecoración de ia ñor de Lis con que le ha agraciado S. M. Cristianísima.</t>
  </si>
  <si>
    <t>1234</t>
  </si>
  <si>
    <t>…ación de las autoridades pontificias, se han ne gado á darnos sal. El senado de la república, compuesto de 25 familias no bles y de diputados del pueblo, acaba de enviar á Roma al caballero An tonio Onufri, pariente de tina familia romana ilustre, y se espera que este negociador obtendrá el objeto de su misión. PAISES-BAJOS-UNIDOS. Brusélas 7 de Octubre. S. A. R. el Príncipe de Orange, después de haber pasado revista á fas guarniciones de Namur, de…</t>
  </si>
  <si>
    <t>…dias de su Sobe rano con un acto de tanta caridad é ilustración pública. Madrid 12 de Diciembre. ARTICULO DE OFICIO. El Rey nuestro Señor se ha servido conceder su Real permiso á D. An tonio del Villar , administrador de Rentas provinciales de Sevilla, para usar de la condecoración de la flor de Lis con que le ha agraciado S. M. Cristia nísima por su constante adhesión á la familia de los Borbones. En atención á los grandes méritos y servic…</t>
  </si>
  <si>
    <t>Gaceta de Madrid n.º 152</t>
  </si>
  <si>
    <t>…das á la persecución de los re beldes que hostilizan estas jurisdicciones ; habiendo logrado un resultado feliz el destacamento que operó sobre Palo Blanco el capitán de realistas D. An tonio Cortés, como lo acredita su parte de 24 de Febrero último dado des de Huaurla. „Dios guarde á V. E. muchos años. Nautla Marzo 10 de i8i7.=Exceíentísimo Sr. = Benito de Armiñan. = Excmo. Sr. virey D. Juan Ruiz de Apodaca.” Parte del capitán D. Antonio Co…</t>
  </si>
  <si>
    <t>An, Casimiro</t>
  </si>
  <si>
    <t>Casimiro An</t>
  </si>
  <si>
    <t>…fue de la teneduría de libros del banco nacional de S. Carlos, comprendidos en la dimisión que hizo de sus bienes en 9 de Enero del año de 1792 , por la escribanía del número del Sr. D. Casimiro An tonio Gómez. E3ta citación y otra anunciada para el 1 2 del corriente Julio, á que no concurrieron dichos acreedores, han sido acordadas para determinar lo conve niente de los caudales de este concurso que se hallan existentes. Por Real resolución de S. M. á…</t>
  </si>
  <si>
    <t>An, Josef</t>
  </si>
  <si>
    <t>Josef An</t>
  </si>
  <si>
    <t>…Royales , D. Pedro Martínez Retuerta, D. Francisco y D. Josef de Arratia, D. Manuel Segundo Martinez, D. Pedro del Rio, la viuda de D. Inocencio Sánchez, D. Manuel López de Rivas, D. Josef An gel de Santelices, Facundo Calleja, Juan Mejorada, Pedro de la Peña, Santiago Vallalado , D. Juan Miguel Alcalá, D. Francisco García de la Penilla, Juan Fer nandez, Baltasar Puebla , D. Dionisio Perez Guerra, Sebastian Bazan, D. Blas Mar tinez y D. Antonio Al…</t>
  </si>
  <si>
    <t>An-, Josef</t>
  </si>
  <si>
    <t>Josef An-</t>
  </si>
  <si>
    <t>…cimiento , y que tenga V. E. la satisfacción de saber ia derrota que sufrió el rebelde Rayón por el valiente capitán Correa. „ Reyes Dicreixibre 7 de r8i6ñ las siete de la noche. =Sr. D. Josef An-</t>
  </si>
  <si>
    <t>Anas</t>
  </si>
  <si>
    <t>…rno por la rendición de los Teranes. De consiguiente recomiendo, á V. E, muy particularmente la actividad del sar gento mayor D. Juan Rafols, la del capitán de dragones de S. Luis D. Anas tasio Bustamente, y la de los demas oficiales y tropa que han concurrido á esta expedición., de que daré á V. E. el debido conocimiento. Dios guarde á V. E. muchos años. Tiasco 6 de Febrero de 1817 á las &amp; de la mañana. = Excmo. Sr.= Manuel de la Concha. = Ex…</t>
  </si>
  <si>
    <t>Andeiro, Amonio</t>
  </si>
  <si>
    <t>Amonio Andeiro</t>
  </si>
  <si>
    <t>…da de distribuirlos. Concluido el acto, en que resaltaban la bene ficencia de este cuerpo patriótico y su amor al Rey, pronunció el elogio de S. M., por acuerdo de la sociedad, el Sr. D. Amonio Andeiro, ministro</t>
  </si>
  <si>
    <t>Anderson</t>
  </si>
  <si>
    <t>844</t>
  </si>
  <si>
    <t>…les, y que según su construcción y velamen se presumía ser el corsario tunecino que cruzaba hace algún tiempo en aquellas aguas. Con fecha de 25 de Junio avisan de St. Ubes que el capitán Anderson, comandante del buque sueco el Carie, procedente de Cádiz, había sido abor dado entre los cabos de S. Vicente y Espichel por una goleta corsaria de 18 cañones con su tripulación completa. Ei capitán del corsario dijo á An derson que venia de Buenos-Aires para…</t>
  </si>
  <si>
    <t>1028</t>
  </si>
  <si>
    <t>…res marineros y cinco pasageros se metieron en la laucha; y después de 20 dias de navegación y de trabajos de toda especie llegaron á S. Juan de Terranova. El Febo, mandado por el capitán Anderson , al pasar por el mismo sitio el 30 de aquel mes, observó algunas per sonas vivas sobre un témpano que flotaba á merced de las olas , y acercán dose cuanto pudo en una lancha , salvó á aquellos desgraciados; pero supo con sentimiento que cinco de ellos se hab…</t>
  </si>
  <si>
    <t>Andes, Victoria</t>
  </si>
  <si>
    <t>Victoria Andes</t>
  </si>
  <si>
    <t>…os al hospital General de Madrid, desde donde fue conducido 4 Francia el 23 de Marzo de dicho año. Se suplica á quien tuviere noticia de dicho Puig se sirva comunicarlo á su madre Doña Victoria Andes, que vive calle del Fú car, núm. 8 , encima de la escuela de niños. Oraciones á María Santísima, sacadas de los Santos Padres y doctores de la Igle sia , y de otros escritores piadosos, que da á luz D. Lamberto Gil P. Para formar estas oraciones se han reunid…</t>
  </si>
  <si>
    <t>Andrade, Antonio Venene y</t>
  </si>
  <si>
    <t>Antonio Venene y Andrade</t>
  </si>
  <si>
    <t>…an y Romero, D. Francisco Lujan y Romero, D. Cayetano Urbina y Daoiz, D. Josef Fuentes y Elias , D. Francisco Zacagnini y Monzon, D. Pablo Tous y Fíol, D. Miguel Jorganes y Mario, D. Antonio Venene y Andrade, D. Julián Gata y Malpica, D. Mariano Canals y May oís, D. Juan Molins y Cabañiés, D. Juan de Dios Valera y Viaña, D. Josef Zizur y Azanza, D. Tomas Mones y Puertas, D. Miguel Zizur y Azanza, D. Joaquín Basols y Marañosa, D. Josef Amat y Desvaíls, D. Pablo Na…</t>
  </si>
  <si>
    <t>Andrade, Juan</t>
  </si>
  <si>
    <t>Juan Andrade</t>
  </si>
  <si>
    <t>…Andrés, Juan Santiago, Pascual Antonio , Josef Marcelo, Andrés el Chino y Francisco López se han presen tado en el pueblo de Xicotepeque ante el capitán comandante de aquel punto D. Juan Andrade, implorando la Real gracia del indulto que se les ha con cedido, y quedan allí hasta la disposición de V. Solo el capital) se presentó montado con su sable, y los otros sin ninguna arma por expresar se fugaron de la reunión que tenían. ,,Dios guarde á V. much…</t>
  </si>
  <si>
    <t>Andrés</t>
  </si>
  <si>
    <t>234</t>
  </si>
  <si>
    <t>…ones si la ocurrencia de los negocios lo exigiere. Los accionistas que tu vieren 2 5 ó mas acciones propias deberán hacerlo constar en la secretaría del citado banco, del cargo de D. Andrés de la Cuesta,exhibiendo las mismas ac ciones, ó entregando testimonio suficiente que acredite su pertenencia y los números que comprendan, y si son adquiridas por endosos á quien están llenas, desde el lunes 10 de Marzo, en que comienzan los 30 dias destina d…</t>
  </si>
  <si>
    <t>…o sano: tiene reunido el vecindario; por consiguiente partido cómo do. Los facultativos que quieran pretender dicha plaza dirigirán sus memoriales al secretario de su ayuntamiento D. Andrés de la Presa. Se halla vacante la plaza de maestro de primeras letras de las villas de Navalmoral de Pusa y Toledo, en el partido de Toledo, consistiendo su dotación en 2500 rs., pagados por ambos pueblos, con casa, y 12 fanegas de trigo anualmente; ademas han…</t>
  </si>
  <si>
    <t>960</t>
  </si>
  <si>
    <t>…abel ia Católi ca; al tesosero de egército D. Rafael García de Pizarro cruz de comendador en la misma orden ; y cruces de caballeros en ella á D. Juan Josef Gárate, presbítero; ai brigadier D. Andrés de la Rúa; ai capitán de fragata D. Ma nuel González de la Vega ; á D. Eusebio García , capitán de patriotas distin guidos de Méxicio; á D. Antonio García Jurado; al teniente de navio Don Félix Gastambide ; al teniente coronel D. Antonio Conti, y al capitán d…</t>
  </si>
  <si>
    <t>…rte, y maestro de coches de la Real casa, en la junta que entre varios de ellos se celebró el día 30 de Octubre próximo anterior en el tribu nal de la misma; y presentádose por el D. Andrés en 13 del que rige pedimento, haciendo por él nuevas proposiciones, se ha acordado en providencia de este día del Sr. D. Francisco Xavier de Ojeda, del Consejo de S. M. en el supremo de Hacien da, juez asesor general de dicha Real casa y patrimonio, refrendad…</t>
  </si>
  <si>
    <t>Andrés, Joaquin</t>
  </si>
  <si>
    <t>Joaquin Andrés</t>
  </si>
  <si>
    <t>…l señor Cean, también se hallará de venta en la librería de Castillo, frente á las gradas de S. Felipe. El salmo Miserere, traducido y glosado en décimas latinas y castellanas por Don Joaquin Andrés, cura de Calcena, del obispado de Tarazona; obra aunque propia en todo tiempo para implorar la divina misericordia imitando el espíritu penitente del santo Rey David, es mucho mas oportuna para el santo tiempo de cuaresma. Se hallará en un cuaderníto, que pue…</t>
  </si>
  <si>
    <t>Andriany, Ambrosio María</t>
  </si>
  <si>
    <t>Ambrosio María Andriany</t>
  </si>
  <si>
    <t>…asunto según dere cho, y les parará el perjuicio que si estando presentes fuese visto y determinado, por estar asi mandado. Los interesados en los bienes de la casa y negocios de D. Ambrosio María Andriany, que vivia en el año de 1753 , se presentarán en el juzgado del Sr. D. Vi cente Tormo y Pont, del Consejo de S. M., su alcalde honoraria del crimen de la Real chancillaría de Granada, mayor teniente corregidor de la ciudad de Málaga, y escribanía de D. Franci…</t>
  </si>
  <si>
    <t>Andriel</t>
  </si>
  <si>
    <t>…lla en el día muy floreciente por la numerosa juventud que hay en él, por su buen gobierno, y por el método escogido de sus es tudios. S. M. ha concedido por término de 30 años al Sr. Andriel el privilegio exclusivo pata el alumbrado con gas hidrógeno, aplicable á cualquiera uso</t>
  </si>
  <si>
    <t>…poder navegar con bar cos de vapor en todas las costas del reino de las Dos Sicilias, cualquiera que sea la forma de sii construcción. Antes de emplearse en esta nueva empresa, el Sr. Andriel dirigió al Real instituto de Fomento una memoria, en la que insertando una historia racio cinada de la invención de las máquinas de vapor, de sus adelantamientos y aplicación á los usos de la vida humana, ha dado á conocer su profundo co nocimiento en las cie…</t>
  </si>
  <si>
    <t>Anduaga, Josef de</t>
  </si>
  <si>
    <t>Josef de Anduaga</t>
  </si>
  <si>
    <t>…a en la doctrina cris tiana por los catecismos de Ripalda y Fleuri; en leer en prosa y en verso por el método práctico de D. Vicente Naharro; en escribir por el det Ex celentísimo Sr. D. Josef de Anduaga ; en las cinco reglas de la aritmética por el tratado de D. Josef Mariano Vaílejo; en la gramática y ortografía castella na por la de la Real Academia española, yen las reglas de urbanidad y po lítica por el catecismo del P. Santiago Delgado. El autor ha de t…</t>
  </si>
  <si>
    <t>Angaita, Sebastian</t>
  </si>
  <si>
    <t>Sebastian Angaita</t>
  </si>
  <si>
    <t>1101</t>
  </si>
  <si>
    <t>…a de la Guayra; y el del Rio Hacha al teniente coro nel D. Josef Solis , que sirvió interinamente el de Popayan. En España. La tenencia de Rey de la plaza de Peñíscola al teniente coronel D. Sebastian Angaita, capitán agregado al regimiento de infantería de Lorena: la primera ayudantía de la de Lérida á D. Manuel Rey, teniente del mismo regimiento de Lorena: la segunda de la de Mahon al capitán D. Juan Bautista Berthel, ayudante tercero de la misma: la de la de Se…</t>
  </si>
  <si>
    <t>Angulo, Francisco Antonio de</t>
  </si>
  <si>
    <t>Francisco Antonio de Angulo</t>
  </si>
  <si>
    <t>…escrito por D. Nicasio Alvarez de Cienfuegos, á real y medio en papel._: Elogio histórico del Excino. Sr. D. Juan López Pacheco, marques de Villena, di rector de la academia, por D. Francisco Antonio de Angulo, á 2 rs__ Oración fú nebre que en las exequias celebradas por ia academia en la muerte de su director D. Andrés Fernandez Pacheco, marques de Villena, dijo el Dr. D. García de Montoya; y elogio del mismo señor director, leído por el Dr. D. Ignacio Cevallos Vi…</t>
  </si>
  <si>
    <t>Angulo, María Juliana de</t>
  </si>
  <si>
    <t>María Juliana de Angulo</t>
  </si>
  <si>
    <t>…anz Merino: 409380 D. Josef Arratia : 41 1609 Doña María Antonia Sanz Meri no___ De 30c pesos de Ma) o de 1808: 429525 Sres. Sánchez y Lozano: 441445 y 442975 D Juan Dagés: 446152 Doña María Juliana de Angulo: 484606 D. Juan Dagés: 491660 D. Francisco Antonio de Rivacoba: 492885 y 494253 Sr. tesorero general.__ De 6co pesos de Setiembre de 1808 : 233 y 276 D. Antonio Martínez (de Cuenca) : 3771,6116,8340 y 1 2246 Señor tesorero general.__De 300 pesos de Setiembre…</t>
  </si>
  <si>
    <t>Angulo, Ventura de Bustos y</t>
  </si>
  <si>
    <t>Ventura de Bustos y Angulo</t>
  </si>
  <si>
    <t>Gaceta de Madrid n.º 78</t>
  </si>
  <si>
    <t>…ias del baño y reglas para bañarse, pre caviendo en los casos comunes los excesos sin consulta: nuevo medio para criar á los niños hermosos, sanos y robustos: primera edición, por D. Ventura de Bustos y Angulo, cirujano dentista que fue en esta corte. Se hallará en la librería de Sojo, calle de las Carretas, y en casa del cirujano dentista en la misma calle, esquina á la de Majaderitos, á 3 rs. vn. Colección de apuntes sobre táctica, por un oficial que ha servido e…</t>
  </si>
  <si>
    <t>Anodaca, Juan Ruiz de</t>
  </si>
  <si>
    <t>Juan Ruiz de Anodaca</t>
  </si>
  <si>
    <t>…E. tiene á bien premiar el mérito que han contraido. ,,Dios guarde á V. E. muchos años. Mesa de los Caballos Marzo 10 de 1817. = Excmo. Sr. = Cristóbal Ordoñez. = Excmo. Sr. virey D. Juan Ruiz de Anodaca.”____ i El Excmo. Sr. virey ha mandado dar las debidas gracias al Sr. Ordoñez y á los comandantes de las secciones, asi como á todos los demas oficiales y</t>
  </si>
  <si>
    <t>Añon, Miguel</t>
  </si>
  <si>
    <t>Miguel Añon</t>
  </si>
  <si>
    <t>Gaceta de Madrid n.º 49</t>
  </si>
  <si>
    <t>…a Villapinto, siendo acreedores igualmente á recomendación por haber desempeñado sus funciones en medio del peligro y con el mayor zelo y es píritu el cirujano del regimiento fijo D. Miguel Añon y el capellán D. Fran cisco Sastre, cura de la Antigua, habiéndoles atacado por la retaguardia con el fin de ver si podían llevarse los heridos. Conforme descanse la tropa y se repare la caballería, que está muy es tropeada, continuaré en persecución de los e…</t>
  </si>
  <si>
    <t>Ansa, Josef de</t>
  </si>
  <si>
    <t>Josef de Ansa</t>
  </si>
  <si>
    <t>…l Rey nuestro Señor se ha servido conferir la plaza de ministro del Cornejo supremo de la Guerra correspondiente á la clase de intendentes al del egército y principado de Cataluña D. Josef de Ansa, honorario del mis mo tribunal. También se ha dignado S. M. conceder la tenencia de Rey de la plaza de la Havana al brigadier D, Diego Uiloa y Vargas; y la ayudantía de la dtl Callao de Lima á D. Nicolás Ximeno, teniente del regimiento de infan tería del Infa…</t>
  </si>
  <si>
    <t>Ansa, Juan Cruz de</t>
  </si>
  <si>
    <t>Juan Cruz de Ansa</t>
  </si>
  <si>
    <t>…gar con oportunidad, por distar cuatro leguas de este punto. ,,En la noche del propio dia con los oficiales de este cuerpo capitanes D. Josef Antonio de Arcega, D. Francisco Gea , D. Juan Cruz de Ansa, teniente D. Mariano Ribera , y subtenientes D. Francisco de Landa , D.Josef Manuel Mateos y D. Juan de Ansa, salí con 106 infantes y 27 caballos er&gt; busca de la chusma y de cualesquiera otra que pudiera auxiliarlos. Subí á los llanos del Mogote, recorrí el p…</t>
  </si>
  <si>
    <t>Ansa, Juan de</t>
  </si>
  <si>
    <t>Juan de Ansa</t>
  </si>
  <si>
    <t>…e cuerpo capitanes D. Josef Antonio de Arcega, D. Francisco Gea , D. Juan Cruz de Ansa, teniente D. Mariano Ribera , y subtenientes D. Francisco de Landa , D.Josef Manuel Mateos y D. Juan de Ansa, salí con 106 infantes y 27 caballos er&gt; busca de la chusma y de cualesquiera otra que pudiera auxiliarlos. Subí á los llanos del Mogote, recorrí el parage que nombran la Cieneguilla, el de la vista de Ojo de Agua , me aboqué á la izquierda de Tonatico y rumb…</t>
  </si>
  <si>
    <t>Ant</t>
  </si>
  <si>
    <t>…zos que formaban parte de la guardia Real que se cu brió de gloria en las Tuberías el 10 de Agosto de 1792 , y que viven en el día, son el feld-mariscal barón de Salís-Ziziers, el coronel Ant. Glutz , el teniente coronel Gibelin, el mayor Zimmerman, F. de Luze, Ign. de j\laillardoz, Constant de Rebecque (en el aia al servicio de Holanda), de la Corbierre, Deville y Vaudois. Las reclamaciones de los regimientos suizos que estaban al servicio piamon…</t>
  </si>
  <si>
    <t>Anto</t>
  </si>
  <si>
    <t>22</t>
  </si>
  <si>
    <t>…ientes: D. Francisco de Villota á los 14 meses de estudio: D. Felipe de la Puente, D. Miteo Regil, D. Jorge de Urioste, D. Juan de Murrieta y D. Ildefonso de Llano á los 20 meses: D. Anto nio de Calera á los 16: D. Juan de Arredondo á los 14 ; y D. Segundo de Olavarriaá los 22 , sin contar otros tres , que también instruidos como estos, yen igual tiempo, habían salido antes á seguir su destino. Madrid (&gt; de Enero. Al paso de S. M. la Reina nue…</t>
  </si>
  <si>
    <t>Gaceta de Madrid n.º 13</t>
  </si>
  <si>
    <t>128</t>
  </si>
  <si>
    <t>…la honra de besar la mano á S. M. á nom bre de la ciudad de Llerena, y felicitarle por haberse verificado sus augustos enlaces matrimoniales con la Reina nuestra Señora, el limo. Sr. D. Anto nio María Izquierdo, ministro honorario de la Real cámara de Castilla , y secretario del Sermo. Sr. Infante D. Carlos María, y el Sr. D. Francisco M ¡ría Riesco , inquisidor del tribunal de Corte; en cuyo acto ratificaron los testimonios de lealtad que á S. M…</t>
  </si>
  <si>
    <t>…e Cataluña digo con esta fecha lo siguiente: „ Conformándose el Rey nuestro Señor con el parecer del Consejo Supre mo de la Guerra en la sumaria formada en Cataluña á instancia de D. Anto nio Vileila, subteniente del extinguido tercio de Miqueletes de Gerona , para sincerarse de la acusación que produgeron contra él algunos Oficiales de su Cuerpo sobre haber procedido con ilegalidad en la comisión que tuvo de re caudar caudales en la villa de…</t>
  </si>
  <si>
    <t>Gaceta de Madrid n.º 44</t>
  </si>
  <si>
    <t>…sona del Rey , y caballero de la orden Real y militar de S. Hermenegildo; de D. Josef Martí, coronel de egércíto, y primer teniente de Reales guardias de infantería española, y de D. Anto nio Colomer, caballero de la Real y distinguida orden española de Cárlos 111; el primero de los cuales dijo r „ Señor: Vuestra ilustre y leal ciudad de Peñíscola (una de las de voto en cortes del reino de Valencia), que por su inalterable fidelidad en todos t…</t>
  </si>
  <si>
    <t>…costumbres, conducta política y demas requisitos de estilo. Los pretendientes dirigirán sus memoriales an te el alcalde de dicha villa de Aravaca Laureano Benita, y escribanía de D. Anto nio Domínguez, que lo es del colegio de esta coi te, en el término de 20 dias pe rentorios, contados desde el 17 del corriente. Los suscriptores á los cuatro tomos de la obra Juzgados militares de España y sus Indias, y los suscriptores á los tres i.°, 2.0 y…</t>
  </si>
  <si>
    <t>…inas finas, de las actas que oportu namente dictó su acreditado patriotismo y acendrada lealtad , y de las fiestas que por medio de su benemérito individuo el regidor alférez Real D. Anto nio Juarros, dispuso para celebrarla con el decoro que exigía la grandeza del acto y las delicadas circunstancias del tiempo. Estos nobles monumen tos de amor y de lealtad, tanto mas apreciables cuanto es mayor la distan cia en que se egecutan , han merecido…</t>
  </si>
  <si>
    <t>1317</t>
  </si>
  <si>
    <t>…arde á V. S. muchos años. Cuartel general de Tehuacan Fe brero 28 de 1817.rrRafael Bracho. =Sr. brigadier D. Ciríaco de Llano.” 2.0 ,,Excmo. Sr.: Habiéndome comunicado el teniente coronel D. Anto nio Flon, comandante de armas, y subdelegado de la jurisdicción de Acatlan, que una gavilla de rebeldes como de 80 hombres, acaudillada por los cabecillas Ensaldos, Cueilar y otros, se reunía en las inmediaciones de Amatitlan, siete leguas de Piaxtla, con el…</t>
  </si>
  <si>
    <t>Anto, Casimiro</t>
  </si>
  <si>
    <t>Casimiro Anto</t>
  </si>
  <si>
    <t>…se cita, llama y emplaza á los acreedores é interesados en ei concurso de Miguel Casado, difunto, vecino que fue del lugar de Vallecas, pendiente por la escribanía del número del señor D. Casimiro Anto nio Gómez, para que en el término de 30 días contados desde 10 del corriente mes comparezcan á decir lo que les convenga sobre la calificación, liquidación y transacion de los créditos del concurso, acordada en junta general de 8 de Febrero úl,tiinq; en intel…</t>
  </si>
  <si>
    <t>…á 6, en el despacho de la imprenta Real. En el juzgado del Sr. D. Joaquín Almazan, del Consejo de S. M., teniente primero de corregidor de esta muy heroica villa, y escribanía de D. Casimiro Anto nio Gómez, se vende con Real facultad una haza de tierra de 35 fanegas, término de la ciudad de Málaga, tasada en 49900 rs. metálicos, á que está hecha postura en esta cantidad con varias condiciones, y señalado para su remate el sábado 3 de Enero próximo á l…</t>
  </si>
  <si>
    <t>Anto, Estéban</t>
  </si>
  <si>
    <t>Estéban Anto</t>
  </si>
  <si>
    <t>Gaceta de Madrid n.º 127</t>
  </si>
  <si>
    <t>…Real. Se suscribe en dicho despacho, y en las provincias en todas las ad ministraciones principales y agregadas de correos. En virtud de providencia de 19 del corriente del limo. Sr. D. Estéban Anto nio de Orellana, del Consejo y Cámara de S. M. en el Real y supremo de la Guerra, y ase.or general de todos los cuerpos y tropas de casa Real y su juzgado privilegiado, se ha mandado citar, llamar y emplazar, como por el presente se ci ta, llama y emplaza, á…</t>
  </si>
  <si>
    <t>Anto, Francisco</t>
  </si>
  <si>
    <t>Francisco Anto</t>
  </si>
  <si>
    <t>Gaceta de Madrid n.º 80</t>
  </si>
  <si>
    <t>…de Lorena: la de Valencia de Alcántara al capitán D. Sebastian Bruget, teniente del regimiento de infantería de Extremadura; y la ayudantía del castillo de S. Antón de la Coruña á D. Francisco Anto nio López, subteniente agregado al estado mayor de dicha plaza. En atención al relevante mérito, largos y extraordinarios servicios, y distinguidas circunstancias de D. Diego Vicente Casasola, maesrrante de ia Real de Ronda, regidor perpetuo y decano de la ci…</t>
  </si>
  <si>
    <t>Anto, Juan</t>
  </si>
  <si>
    <t>Juan Anto</t>
  </si>
  <si>
    <t>…aguirre, deán de la catedral de León; D. Manuel de la Madriz, vecino de Potes, maestrante de Ronda; D. Marcelino de la Torre, oficial mayor de la secretaría del Consejo de Estado; D. Juan Anto nio Mendez, director de la compañía del Guadalquivir; D. Manuel Zuaznabar, sumiller de cortina de S M. ; D. Manuel Zoilo, dignidad de la cate dral de Astorga, D. Fernando Medina, administrador de Rentas de Llerena; D. Santiago Jonatna, cónsul de S. M. en Amst…</t>
  </si>
  <si>
    <t>Anto, Manuel</t>
  </si>
  <si>
    <t>Manuel Anto</t>
  </si>
  <si>
    <t>Gaceta de Madrid n.º 79</t>
  </si>
  <si>
    <t>…y con efecto, á impulsos de estas órdenes, de la exactitud y energía de los dependientes del baño en cumplirlas, y de las acertadas disposiciones tomadas por el maestro arquitecto D. Manuel Anto nio Guillorme, tenemos el gusto de anunciar al público que se hallan ya cor rientes los baños , y qu« desde el dia de S. Juan próximo estarán abiertos pa ra suministrar en ellos á todos los enfermos que concurran los remedios estufas, pozos., agua potable, y…</t>
  </si>
  <si>
    <t>Antofiana, Bernardo Díaz</t>
  </si>
  <si>
    <t>Bernardo Díaz Antofiana</t>
  </si>
  <si>
    <t>…rabanchel alto; y por norte con dicho arroyo, tasado en 399 rs. vn. Las personas que quieran hacer postura á ella acudan ante dicho señor juez y escribanía del número del cargo de D. Bernardo Díaz Antofiana, donde se admitirán las que se hicieren siendo arregladas. Se halla vacante el partido de médico titular de la villa de Casarubios del Mon te, provincia de Madrid, de cuya capital dista siete leguas. Los pretendientes á es ta plaza, que deberán tener aprobaci…</t>
  </si>
  <si>
    <t>Antón, Rafael Martin</t>
  </si>
  <si>
    <t>Rafael Martin Antón</t>
  </si>
  <si>
    <t>…mate, todo de cuenta de dicho comprador. La persona que quisiere hacer postura por dos ó mas años acudirá al comendador procurador mayor D. Tomas Valderrábano por la secretaría de D. Rafael Martin Antón, secretario del citado cabildo. Tratado de economía política, ó simple exposición del modo con que se for man, distribuyen y consumen las riquezas: por Juan Bautista Say; refundido por el mismo en esta nueva edición, y aumentado con un epítome que comprende l…</t>
  </si>
  <si>
    <t>Antoñana, Bernardo Diaz</t>
  </si>
  <si>
    <t>Bernardo Diaz Antoñana</t>
  </si>
  <si>
    <t>…e Almazan, del Con sejo de S. M., teniente de corregidor de esta muy heroica villa. Las personas que quieran hacer postura acudan ante dicho señor juez, y escribanía del número de D. Bernardo Diaz Antoñana , donde se admitirán las que se hiceren siendo arregla das ; previniéndose está ya hecha postura en las dos terceras partes del valor de la huerta en dinero metálico. En virtud de providencia del Sr. D. Joaquín de Almazan , del Consejo de S. M., teniente corr…</t>
  </si>
  <si>
    <t>Antoñana, Bernardo Díaz de</t>
  </si>
  <si>
    <t>Bernardo Díaz de Antoñana</t>
  </si>
  <si>
    <t>…to de su mañana en la posada del Sr. D. Joaquín de Almazan, del Consejo de S. M., teniente corregidor de esta heroica villa, por cu yo juzgado y escribanía del número del cargo de D. Bernardo Díaz de Antoñana se halla radicado el juicio de testamentaría de la Doña Donata González. Reflexiones y observaciones teóricas y prácticas sobre la sífilis degenerada, por el Dr. ICeraudren, médico en gefe cerca del ministerio de Marina &amp;c., traducidas del francés al castella…</t>
  </si>
  <si>
    <t>Antoñana, Bernardo Diaz de</t>
  </si>
  <si>
    <t>Bernardo Diaz de Antoñana</t>
  </si>
  <si>
    <t>…que en el término de 30 dias comparezcan ante el Sr. D. Joaquín de Almazan, dei Consejo de S. M., teniente corregidor de esta heroica villa, y escribanía del nú mero del cargo de D. Bernardo Diaz de Antoñana , donde se halla radicada dicha testamentaría, á fin de que legitimando sus créditos usen del derecho que les asista; apercibidos que de lo contrario les parará el perjuicio que haya lugar.~De con formidad de los acreedores presentados en la testamentaría de…</t>
  </si>
  <si>
    <t>…nor de dichas aranzadas de viña y fane cas de tierra, y hacer postura á ello, como no sea en menos cantidad de su tasa ción, acuda ante dicho señor juez y escribanía del número de D. Bernardo Díaz de Antoñana, donde se admitirán las que se hicieren siendo arregladas. Compendio de los Comentarios, extendidos por el Mtro. Antonio Gómez á las 83 leyes de Toro, en que con presencia c|e las notas de su adicionador queda com prendido todo lo sustancial de ello: escrito…</t>
  </si>
  <si>
    <t>…a heroica villa. Las personas que quieran hacer pos tura á ello, como no sea en menos cantidad de 94376 rs. de su tasación, acuda an te dicho señor juez y escribanía del número de D. Bernardo Díaz de Antoñana, donde se admitirán las que se hicieren siendo arregladas. El primer trimestre de la suscripción á la Minerva, ó el Revisor general, con cluye el último día del presente ines de Setiembre. Los suscriptores que gusten con tinuar recibiendo los números sin inte…</t>
  </si>
  <si>
    <t>…mpetan en el juzgado del Sr. Don Joaquín Almazan, del Consejo de S. M., teniente primero de corregidor de esta heroica villa de Madrid, y por la escribanía del número del cargo de D. Bernardo Díaz de Antoñana, donde se halla radicado el juicio de testamentaría del D. Fran cisco Arana. D. Pascual Martínez, presbítero en la villa de Perales de Tajuña, ofrece 3 rs. diarios, pagados mensualmente, á la maestra que quiera encargarse de ensenar una corta porción de niñas…</t>
  </si>
  <si>
    <t>…n 39© rs. vn., y está hecha postura en 38^ en moneda metálica. Las persañas que quieran mejorar dicha postura acudan ante el citado señor juez y escribanía del número del cargo de D. Bernardo Díaz de Antoñana, donde se admitirán las que se hicieren siendo arregladas. Se halla vacante la cátedra de sintaxis ó medianos de las aulas públicas de gra mática latina de la ciudad de Pamplona, cabeza del reino de Navarra, cuya dota ción es 4800 rs. vn., y la cuarta parte d…</t>
  </si>
  <si>
    <t>Antoneli, Pedro</t>
  </si>
  <si>
    <t>Pedro Antoneli</t>
  </si>
  <si>
    <t>…persiguió hasta dispersarlos , qui tándoles nueve caballos, con los que remontó algunos dragones que llevaban muy fatigados los suyos. „ Pongo en noticia de V. S. como el teniente coronel D. Pedro Antoneli ha destruido la mesa que llaman de los Caballos, en donde se fortificó En carnación Ortiz, el Pachón; dicho teniente coronel trae el convoy deS.Luis, quien deberá llegar á esa dentro de tres ó cuatro dias. ,,Recomiendo á V. S. muy particularmente á dicho sarg…</t>
  </si>
  <si>
    <t>Antonia</t>
  </si>
  <si>
    <t>Gaceta de Madrid n.º 155</t>
  </si>
  <si>
    <t>1420</t>
  </si>
  <si>
    <t>…de Veracruz: el dia 27 de Febrero de 1792 , resultó por su testamento haber sido casado en la ciudad de Cá diz con Doña María de Mesa, dejando por herederos á sus hijos D. Manuel, Doña Antonia y Doña Rita Cañal; y respecto á que estos interesados no han solicitado el cobro de 261 pesos 5I rs., que en el año de 1796 vinieron en el navio de guerra Santiago la América, pertenecientes á esta testamentaría, por cuyo líquido entraron en tesorería general en clase de depós…</t>
  </si>
  <si>
    <t>Antonio</t>
  </si>
  <si>
    <t>…Dorado, D. Manuel Vega y Romero, D. Al varo de Navia y Osorio, D. Juan de ia Lastra y Mata, D. Dionisio Sierra y Abello, D. Antonio Jácome y Villena, D. Antonio Fernandez Pinzón, Don Antonio de los Reyes y Céspedes, D. Josef García Merlo, y á los artilleros disti nguidos D. Josef Torrecilla, D. Adriano Torrecilla y D. Josef de Puente. Se vende una casa sita en la calle de Santiago el Verde de esta población, seña lada con el núm. 13 de la ímnz. 7…</t>
  </si>
  <si>
    <t>…eaciones son á saber: De 300 pesos de Enero de 1808, núms. 85380, 85834,96511 ,96879,96926 y 97023 Don Francisco Antonio de Rivacoba : 97319 D. Cayetano Luis Maeso : 98108 y 98291 D. Antonio de la Torre : 98340 D. Cayetano Luis Maeso: 98403 Com pañía de la Buena Fe: 111630 Doña María del Carmen Corral. — De 150 pesos de Enero de i8c8: 227200 D. Francisco Josef Paron: 239881 Don Francisco Antonio de Rivacoba: 309452, 319396, 32815 8 y 33Sl93 Dorl…</t>
  </si>
  <si>
    <t>…ares 6 patriotas que hubieren muerto en defensa de la justa causa de la nación, ha cabido en suerte del primer extracto de la de este dia á Doña María de los Dolores Bota, hija de D. Antonio, oficial que fue de Reales provisiones &gt; muerto en el campo del honor.</t>
  </si>
  <si>
    <t>…s militares ó patriotas que hubieren muerto en defensa de la justa causa de la nación , ha cabido en suerte del primer extracto de la de este dia á Doña María Felipa Bota, hija de D. Antonio, oñeial que fue de Reales provisiones, muerto en el campo dei honor.</t>
  </si>
  <si>
    <t>…egladas. En el año de 1812 se ausentó de esta corte un joven de 2 2 años de edad lla mado Gerónimo Antero Sabatie. La persona que supiere su paradero se servirá avi sar á su padre D. Antonio, que vive en esta, casa del señor duque de la Roca, ca lle de Toledo, frente á S. Isidro el Real. Origen de la revolución francesa, ó tramas de los filósofos modernos para con seguirla : un tomo en 8.°“B.elacion circunstanciada de los trabajas, prisión y muer…</t>
  </si>
  <si>
    <t>…e egerce D. Juan Raya; y está señalado para su remate el dia 21 del cor riente en la audiencia de dicho señor i las 12. Se desea saber el paradero de Doña Mariana Sánchez, hija de D. Antonio y de Doña María Magdalena Monteagut, difuntos, que se ausentó de Barcelona el año de 1809 ; en el de 1812 y j 3 se hallaba en Madrid, y á mediados del de 1814 en Tarragona. Se suplica á quien sepa de su existencia tenga la bondad de avisarlo ai P. Rafael Estr…</t>
  </si>
  <si>
    <t>…u paradero se sirva comunicarlo á D. Andrés Gutiérrez, procurador de los Reales Consejos, que vive calle de la Concepción, núm. 19, cuarto 3.0, quien tiene que hacer saber á dicho D. Antonio un asunto que le interesa. Carta y defensa de Paracueiios, escrita por D. Fernando Perez á un sobrino que se hallaba en peligro de ser autor de un libro: un tomo en 8.° á 10 rs. en pasta y 8 á la holandesa. ~ Instrucción militar cristiana para uso de los caba…</t>
  </si>
  <si>
    <t>…ural de Cádiz, y de su esposa Doña Manuela Perez de Abreu, natural de la ciudad de S. Felipe y Santiago del Bejucar,por sí y en nombre de sus hijos legítimos D. Josef, D. Lorenzo, D. Antonio, Doña María de la Concepción, Doña Gertrudis, Doña María de Jesús, D. Francisco,D. Juan, D. Manuel y Dou Ramón López Perez, naturales de la Havana; y habiendo fallecido el referido su padre D. Antonio López Gómez en el mismo año de 1802 , al tiempo de estar p…</t>
  </si>
  <si>
    <t>Gaceta de Madrid n.º 154</t>
  </si>
  <si>
    <t>1409</t>
  </si>
  <si>
    <t>…ilitares 6 patriotas que hubieren muerto en defensa de la justa causa de la nación, ha cabido en suerte del primer extracto de la de este día á Doña María Antonia Ximeno, hija del capitán D. Antonio, muer to en el campo del honor. ARTICULO DE OFICIO. En el decreto de mano del Rey nuestro Señor, que se anunció eo la ga ceta del martes 23 del corriente, por el que se manda que ninguno de los empleados de la Real casa cobre propina, gage, cualquiera que sea…</t>
  </si>
  <si>
    <t>Antonio, Infante D</t>
  </si>
  <si>
    <t>Infante D Antonio</t>
  </si>
  <si>
    <t>…imo Sr. Infante D. Carlos honrar con su presencia la apertura del estudio físico-químico establecido en palacio. Este establecimiento, fundado por los esmeros de S. A. el Serillo. Sr. Infante D Antonio (que de Dios goce") á fa vor de 20 discípulos, es útil en el día á mas de 70 personas. El curso com pleto de estudio se compone de un año de química y otro de física, conti nuando las lecciones los martes, jueves y sábados de cada semana desde las 10 hasta la…</t>
  </si>
  <si>
    <t>Antonio, Josef</t>
  </si>
  <si>
    <t>Josef Antonio</t>
  </si>
  <si>
    <t>…Martínez, frente á las gradas de S. Felipe. Oraciones y meditaciones para la asistencia al sacrificio de la misa, preparación para la penitencia y comunión, y otras oraciones: por D. Josef Antonio de la Va lle: un volumen en 12,° Se hallará en la librería de Barco, carrera de S. Geróni mo, y en Valencia en la de Domingo y Mompie , d 7 rs. en pasta. EN LA IMPRENTA REAL.</t>
  </si>
  <si>
    <t>Antonio, Juan</t>
  </si>
  <si>
    <t>Juan Antonio</t>
  </si>
  <si>
    <t>…róximo. Catecismo de la doctrina cristiana compuesto por el P. Gerónimo Ripalda, de la compañía de Jesús, añadido con 150 preguntas con sus correspondientes respues tas por el Dr. D. Juan Antonio de la Riva, canónigo de la santa iglesia de Car tagena, quien le dedica al Rey nuestro Señor D. Fernando vir. Se hallará en la librería de Escribano, calle de las Carretas.—Las diputaciones y maestros de pri meras letras que quisieren surtirse por docenas acu…</t>
  </si>
  <si>
    <t>Gaceta de Madrid n.º 105</t>
  </si>
  <si>
    <t>936</t>
  </si>
  <si>
    <t>…stá señalado para el dia 8 de Se tiembre próximo, y hora de las 12 , á las puertas de su casa habitación, que está en el Portal llano de la plaza pública. Cayetano Carasa, hijo de D. Juan Antonio y de Magdalena Uzin, natural de Navarrete, corregimiento de Logroño , sirvió en los batallones de marina del Fer rol desde 7 de Julio de 1804, en que sentó plaza, hasta 25 de Agosto de 1809, que pasó á campaña en clase de cabo segundo con destino á la tercera…</t>
  </si>
  <si>
    <t>AntonioEscaiera, Josef</t>
  </si>
  <si>
    <t>Josef AntonioEscaiera</t>
  </si>
  <si>
    <t>…patriotas que hubieren muerto en defensa de la justa causa de la nación , ha cabido en suerte del primer extracto de la de este dia á Doña María de los.Dolores, hija del patriota D. Josef AntonioEscaiera, muerto en el campo del honor. ARTICULO DE OFICIO. El Rey nuestro Señor ha oido con agrado las expresivas demostraciones de la v.illa de.Daimiel que contiene la siguiente exposición. ,,Señor,: El.'presidente y ayuntamiento de Ja villa de Daimiel, en la Mancha…</t>
  </si>
  <si>
    <t>Aparici, María Dominga</t>
  </si>
  <si>
    <t>María Dominga Aparici</t>
  </si>
  <si>
    <t>…a dd premio D. Jaime Manent y Don "Vicente Morera, y de las niñas Doñi María Vicenta Lorente y González, Doña Magdalena Beltran , Doña Jocefa Andrés y Serra, Doña Josefa Bur gués, Doña María Dominga Aparici, Doña Carmen Sala y Corones, Doña Magdalena Prat, Doña Vicenta Vidal, Doña Vicenta Carruana, Doña Isa bel María Morera, Doña Bernarda Palomares y Doña Antonia Chaubet. D espues de esto, habiendo ocupado los premiados el lugar distinguido según costumbre, y ce…</t>
  </si>
  <si>
    <t>Aparicio, Manuel Martínez de</t>
  </si>
  <si>
    <t>Manuel Martínez de Aparicio</t>
  </si>
  <si>
    <t>896</t>
  </si>
  <si>
    <t>…as, siendo agraciados Tiburcio Herrero , que se distinguió en la arit mética , caligrafía y ortografía castellana; Pedro Hernández por igual ade lantamiento y tiempo de egercicio; D. Manuel Martínez de Aparicio en es cribir, ortografía castellana y doctrina cristiana, y Lucas de Pablo, Hilario Josef de Torres, Juan Gil Cruz, Josef Crespo y Josef Ortega , que asimis mo manifestaron suma aplicación en sus clases, sobresaliendo entre sus con</t>
  </si>
  <si>
    <t>Apedaca, Juan Ruiz de</t>
  </si>
  <si>
    <t>Juan Ruiz de Apedaca</t>
  </si>
  <si>
    <t>1306</t>
  </si>
  <si>
    <t>…res mandada por los rebeldes cabecillas Alvarez y Camacho. „ Dios guarde á V. E. muchos años. Queretaro Marzo 12 de 1817.=: Exc mo. Sr. = Ignacio García Rebollo.— Excmo. Sr. virey D. Juan Ruiz de Apedaca.” Parte del teniente JD. Julián Jabera. ,, Al amanecer del dia de hoy salieron los cabecillas Alvarez y Cama cho con mías de 90 rebeldes , con el depravado intento de hostilizar el ve cindario de la hacienda de Espejo, hasta el extremo de dejar las familias e…</t>
  </si>
  <si>
    <t>Apodaca, Juan Ruiz de</t>
  </si>
  <si>
    <t>Juan Ruiz de Apodaca</t>
  </si>
  <si>
    <t>…, con la apreciable circunstancia de haberse presentado ai indulto hasta la fecha 2099 individuos, á quienes se ha concedido. Por todo lo cual ha tenido á bien el Excmo. Sr. virey D. Juan Ruiz de Apodaca, de acuerdo con el limo. Sr. arzobispo D. Pedro de Fonte, se den hoy gracias á Dios con un solemne Te Deam y una salve á su Santísima Madre en esta santa iglesia catedral, con asistencia de S. E. y S. I., y de to dos los cuerpos, tribunales, gefes y oficiales…</t>
  </si>
  <si>
    <t>…sos frutos con que el cielo protege sus acertadas providencias. Dios guarde á V. E. muchos años. México io de Diciembre de 1816.= Excmo. Sr. = Pedro, arzobispo de México. = Excmo. Sr. D. Juan Ruiz de Apodaca, virey de Nueva-España. Madrid 5 de Mayo. ARTICULO DE OFICIO. Real orden comunicada por el Ministerio de Marina al Consejo de Al mirantazgo. El doloroso fallecimiento del Sermo. Sr. Infante D. Antonio, coronel de Reales guardias Marinas, almirante general de…</t>
  </si>
  <si>
    <t>…que les advierto dentro de poco tiempo llegarán á 300. ,, Dios guarde á V. E. muchos años. Laureles Noviembre 28 de iSi6.= Excmo. Sr. = Matías Martin y Aguirre. = Excmo. Sr. virey D. Juan Ruiz de Apodaca.” Parte que se cita en el oficio anterior. „Desde el 2 del corriente que puso V. á mis órdenes los T20 infantes de mi cuerpo y 30 caballos de México hice mis correrlas por Tlalpujahua, Maravatio, Angangueo y Tagimaroa, y con respecto á las instrucciones que s…</t>
  </si>
  <si>
    <t>…. para su satisfacción. ,,Dios guarde á V. E. muchos años. Salvatierra Diciembre 5 de 1816. A las ocho y media de la noche. = Excmo. Sr. = Francisco de Orrantia.= Excmo. Sr. virey D. Juan Ruiz de Apodaca.” 2.0 Del teniente coronel y comandante D. Francisco de las Piedras. ,, Excmo. Sr-: Acompaño á V. E. para su debido conocimiento el diario de las operaciones militares del capitán D. Josef María Luvian, comandante militar de Huauchinango , comprensivo desde e…</t>
  </si>
  <si>
    <t>…San Luis Potosí. „ Dios guarde á V. E. muchos años. Queretaro 14 de Diciembre de 1816 á las nueve y media de la mañana. = Excmo. Sr. = Ignacio García Rebollo. =r Excrno. Sr. virey D. Juan Ruiz de Apodaca.”</t>
  </si>
  <si>
    <t>…l abrigo de nuestro piadoso Gobierno. „Dios guarde á V. E. muchos años. Tulancingo 15 de Diciembre de 1816. = Fxcmo. Sr. = Francisco de las Piedras. Excmo. Sr. virey de esta N. E. D. Juan Ruiz de Apodaca.” Parte que se cita en el anterior. ,,Aun siguen surtiendo efecto las proclamas de V. dirigidas á los rebel des de estos rumbos, pues Guillermo García, natural de Manila, capitán an tiguo de los de las partidas del sacrilego Aguilar, su asistente ToribioTorre…</t>
  </si>
  <si>
    <t>…ición en que se manifestó toda la demas tropa y ofi ciales. „Dios guarde á V. E. muchos años. Valladolid Noviembre 22 de 1816.= Excmo. Sr. = Antonio de Linares. = Excmo. Sr. virey D. Juan Ruiz de Apodaca.” 2.0 ,,Excmo. Sr.: Paso á las superiores manos de V. E. el parte origi nal que con fecha 4 del que rige me dirigió el comandante militar del pueblo de Acambaro.’ „Dios guarde á V. E. muchos años. Valladolid 25 de Noviembre de i8ió.=Excmo. Sr. = Antonio de Li…</t>
  </si>
  <si>
    <t>Gaceta de Madrid n.º 69</t>
  </si>
  <si>
    <t>…a la antigua tranquilidad que antes disfrutaban. ,,Dios guarde á V. E. muchos años. Tulancingo 15 de Diciembre de 1816. = Excmo. Sr. = Francisco de las Piedras. = Excmo. Sr. virey D. Juan Ruiz de Apodaca.” ,,Por mis enfermedades no había dicho á V. como le digo ahora que el administrador de correos de Tuxpan me avisa estarse ya recibiendo en dic ho punto la correspondencia pública por la via directa , habiéndose celebrado la llegada de la primera con repique,…</t>
  </si>
  <si>
    <t>…ento , ínterin recibo el parre circunstanciado de todo. ,,Dios guarde á V. E. muchos años. Guadalajara 11 de Diciembre de 1816.= Excmo. Sr. = Josef de la Cruz.zs Exctno. Sr. virey D. Juan Ruiz de Apodaca.” 5.0 ,,Excmo. Sr.: Las continuadas y muy espléndidas demostraciones de gracias y júbilo con que estos vecinos han celebrado los triunfos de V. E. con la rendición de las islas de Mexcala, y completa paciíicacion de esta provincia y parte de ia inmediata de V…</t>
  </si>
  <si>
    <t>Gaceta de Madrid n.º 73</t>
  </si>
  <si>
    <t>Dios guarde á V. E. muchos años. S. Luis Potosí Diciembre 14 de 18 ió. = Excmo. Sr. =Manuel María de Torres. =Excmo. Sr. virey D. Juan Ruiz de Apodaca.” ,,Ayer como á las dos de la tarde encontré al pie de la mesa de Gallinas lina gavilla de rebeldes que mandaba el cabecilla Gutiérrez, la que fue ata cada por 50 hombres de que se componía mi vanguardia, con tal bizarría, que al momento fueron deshechos, que…</t>
  </si>
  <si>
    <t>Gaceta de Madrid n.º 82</t>
  </si>
  <si>
    <t>728</t>
  </si>
  <si>
    <t>…el paternal go bierno de S. M., habiendo huido al interior, donde no podrán escapar, al gunos de los cabezas de la rebelión. ESPAÑA. México 5 de Febrero. El virey de Nueva-España D. Juan Ruiz de Apodaca ha dirigido la si guiente proclama á los habitantes de estas provincias. Llegó el tiempo en que he de hablar á los habitantes de este vireinato que S. M., que Dios guarde, se ha dignado poner á mi cuidado: llegó efec tivamente el momento en que la multitud de…</t>
  </si>
  <si>
    <t>Gaceta de Madrid n.º 83</t>
  </si>
  <si>
    <t>…ad mas profunda en aquella parte de Francia, como en lo .demas del reino. ESPAÑA. México £ de Febrero. Bando publicado el dia jo de Enero próximo pasado por el Exento. Señor virey D. Juan Ruiz de Apodaca. En manifiesto exhortatorio que he mandado circular en esta fecha forma do de orden del Rey nuestro Señor D. Fernando vii_, que Dios guarde, están explicadas con bastante claridad, aunque sucintamente, las piadosas in tenciones de S. M., el amor con que trata…</t>
  </si>
  <si>
    <t>…n del citado ayudante López, lo elevaré á V. E. para su debido conocimiento. Dios guarde á V. E. muchos años. Puebla 3 de Febrero de 1817.1=5 Excmo. Sr.^Ciríaco de Llano. = Excmo. Sr. D. Juan Ruiz de Apodaca* Parte que se cita en el anterior. A Manuel Perez, capitán de rebeldes, y comandante de los fortines sobre el cerro de Sta. Gertrudis, se le escribió desde Acatlan antes de ocupar á Tepexi, para que se rindiese ó indultase, en atención á que no debian espe ra…</t>
  </si>
  <si>
    <t>…do en lo sucesivo, daré á V. E. oportunamente el debido conocimiento. Dios guarde á V.E. muchos años. Apan y Febrero 2 de i8i7&gt;=Excmo. Sr. = Manuel de la Concha. =Excmo. Sr. virey D. Juan Ruiz de Apodaca. 2.0 Excmo. Sr.: A consecuencia del parte violento que dirigí á V. E. i las dos de esta mañana , relativo al que me dió mi segundo el sargento ma. yor del i.° Americano D. Juan Rafols, referente á la conferencia que la no-</t>
  </si>
  <si>
    <t>…e que daré á V. E. el debido conocimiento. Dios guarde á V. E. muchos años. Tiasco 6 de Febrero de 1817 á las &amp; de la mañana. = Excmo. Sr.= Manuel de la Concha. = Excmo. Sr. virey D. Juan Ruiz de Apodaca. El Excmo. Sr. virey en vista del arrepentimiento de Osorno y sus com pañeros se ha dignado concederles el indulto confórme al último bando de 30 de Enero anterior; y ha contestado al Sr. Concha, dándole gracias, y previniéndole las dé en su nombre al mayor R…</t>
  </si>
  <si>
    <t>Gaceta de Madrid n.º 90</t>
  </si>
  <si>
    <t>…calificadas en el último en cuantas operaciones se le han confiado. Dios guarde á V. E. muchos años. Toluca Marzo i.° de 181 7.=Excmo. Sr. = Nicolas Gutiérrez. == Excmo. Sr. virey D. Juan Ruiz de Apodaca. "Parte del capitán T&gt;. Josef Fernandez de Córdoba. Desde mi permanencia en esta población tenia proyectado verificar una sorpresa en el campamento del rebelde González, situado en Tepecin^o, en el cerro de Cempoala, á dos.leguas de Ocuila ; pero no había pod…</t>
  </si>
  <si>
    <t>…e se han recibido últimamente de Nueva-España son su mamente favorables. Los insurgentes se presentan en grandes cuadrillas á conseguir el indulto que les ha ofrecido el Sr. virey D. Juan Ruiz de Apodaca; y nadie duda que en todo este año se acabará enteramente la insur rección. Cuenca jo de Julio. Los individuos de esta Real sociedad, comisionados por la misma para fomentar la enseñanza de los niños y niñas en doctrina cristiana y primeras letras en esta ciu…</t>
  </si>
  <si>
    <t>…puntos indicados para hacer mas ventajosa la ocupación de Misantla. Dios guarde á V. E. muchos años. Nautla y Febrero 25 de 1817.= Excmo. Sr. = Benito Armiñan. = Excmo. Sr. virey D. Juan Ruiz de Apodaca. El Excmo. Sr. virey, en prueba dél aprecio con que ha visto las impor tantes operaciones de esta división, ha mandado=que después de dar las de bidas gracias á los gefes, oficiales y tropa que han concurrido á esta expedi ción, se recomiende especialmente al…</t>
  </si>
  <si>
    <t>…to, como el que ahora remito para su supe rior conocimiento. Dios guarde á V. E. muchos años. Puebla y de Marzo de 1817.= Exce lentísimo Sr. = Giriaco de Llano. = Excmo. Sr. virey D. Juan Ruiz de Apodaca. Parte del teniente coronel D. Francisco de Paula Caminero. Con fecha de hoy á las 12 del dia me dice el teniente coronel de Tíascala D. Miguel Paz lo que copio: ,,Mi estimado amigo y compañero: A las 5 de la tarde del dia de ayer recibí la noticia de la toma…</t>
  </si>
  <si>
    <t>Apodaca, Juan Ruíz de</t>
  </si>
  <si>
    <t>Juan Ruíz de Apodaca</t>
  </si>
  <si>
    <t>1176</t>
  </si>
  <si>
    <t>…se cuaces , he titulado por el Rey fertin de S. Juan de Dios. ,,Dios guarde á V. E. muchos años. Xaliaca Marzo 14 de 1817.2: Excmo. Sr.=Josef Gabriel de Armijo.=:Excmo. Sr. virey D. Juan Ruíz de Apodaca.” 2.0 Del coronel D. Josef Joaquín Márquez y Donallo. „Excmo. Sr.: A pesar de los escabrosísimos caminos y crecidos obstácu los que me presentó la intransitable cuesta de Cbiconquiaco á mi bajdda por ella, para efectuar la combinación con el Sr. Armiñan, venc…</t>
  </si>
  <si>
    <t>…xtensión. ,,Dios guarde á V. E. muchos años. Ermita del Calvario del pueblo de Misantla ^'arzo 23 de 18 1 n. — Excrno. Sr. arjoset Joaquín Márquez y Do— Dallo. = Exento. Sr. virey D. Juan Ruiz de Apodaca ’’ 3.0 D I brigadier D. Ciríaco de Llano. ,,Excmo. Sr.: Es adjunto para el superior conocimiento de V. E. el parte original que me han remitido los tenientes coroneles D. Saturnino Samaniego y D. Félix de la Madrid, relativo á la toma del fuerte enemigo deXon…</t>
  </si>
  <si>
    <t>…E. por sus útiles ta reas en el territorio de la alta Misteca. ,,Dios guarde á V. E. muchos años. Puebla 15 de Febrero de 1817.= Excmo. Sr. = Ciríaco de Llano. = Excmo. Sr. virey D. Juan Ruiz de Apodaca." Parte que se cita en el anterior. ,, A las siete de la noche del 31 del pasado me puse en marcha con &lt;¡o cazadores y 32 caballos, dirigiéndome á Sta. Cruz Itundugia con el objeto de atacar al cabecilla Sánchez, que con una gavilla de 40 hombres armados se h…</t>
  </si>
  <si>
    <t>…mediaciones de la villa de Lagos en persecución de los rebeldes. „Dios guarde á V. E. muchos años. Guadalajara Diciembre 31 de 1816.= Excmo. Sr.=Josef de la Cruz.=Excmo. Sr. virey D. Juan Ruiz de Apodaca.” Parte que se cita en el anterior. „ Excmo. Sr.: El dia 8 del corriente vine á esta villa, y en la madruga da del 9, reunido á la división de Zacatecas y á una partida fuerte de caba llería que sacó el capitán D. Hermenegildo Revuelta de esta guarnición de s…</t>
  </si>
  <si>
    <t>…e mi comisión. ,, Dios guarde á V. E. muchos años. A bordo de la fragata Sabina sobre la barra de Tampico Mayo 26 de 1817.:=: Excmo. Sr. =Francisco de Beranger. = Excmo. Sr. virey D. Juan Ruiz de Apodaca,” El Excmo. Sr. virey en vista de este parte ha dispuesto se den las debi das gracias en nombre del Rey nuestro Señor al señor brigadier de la Real armada D. Francisco Beranger, comandante de la división, igualmente que á los oficiales, tropa y marinería de e…</t>
  </si>
  <si>
    <t>…ahora que soa las nueve de la noche en que lo recibo. „Dios guarde á V. E. muchos años. Queretaro Junio 12 de 1817.= Ex celentísimo Sr. = Ignacio García Rebollo.— Excmo. Sr. virey D. Juan Ruiz de Apodaca.” ' Por los partes citados se sabe también que uno de los oficiales extrangeros con 60 de los suyos se dirigía por la costa á todo escape hacia los Esta dos-Unidos, y que el rumbo del proscripto Mier era por tierra hacia NuevaOrleans con 300 de los malvados.…</t>
  </si>
  <si>
    <t>…ión. „Lo que participo á V. E. para su superior conocimiento. ,,Dios guarde á V. E. muchos años. Puebla Marzo 7 de 1B17. sExce lentísimo Sr. = Ciríaco de Llano. = Excmo. Sr. virey D. Juan Ruiz de Apodaca.” El Excmo. Sr. virey se ha servido aprobar el perdón de la vida conce dido por el Sr. Alvarez á los prisioneros, y espera la relación circunstancia da de la acción para premiar como corresponde á los que se han distinguido en ella. Toledo 16 de Octubre. La s…</t>
  </si>
  <si>
    <t>…on especialidad á los tres individuos que él mismo de nomina. „Dios guarde á V. E. muchos años. Puebla Marzo 7 de 1817. = Excelen tísimo Sr. = Ciríaco de Llano. = Excmo. Sr. virey D. Juan Ruiz de Apodaca.” Parte del teniente coronel D, Saturnino Samaniego, ^Reconociendo ayer las alturas inmediatas á los fortines de Jonacatlan, una partida de 80 infantes del batallón de Guanajuato ,á las órdenes del subteniente D. Joaquín de Miranda, por la parte de Álcosauca,…</t>
  </si>
  <si>
    <t>Apodacá, Juan Ruiz de</t>
  </si>
  <si>
    <t>Juan Ruiz de Apodacá</t>
  </si>
  <si>
    <t>…y demas oficiales y tropa que concurrieron á esta acción. „Dios guarde á V. E. muchos años. Puebla 7 de Marzo de 1817. = Ex celentísimo Sr. = Ciríaco de Llano. = Excmo. Sr. virey D. Juan Ruiz de Apodacá.” Parte del coronel D. Francisco Hevia. ,,E1 26 del anterior salí con cuatro compañías de Castilla, una de Astu rias, toda la caballería y un cañón á batir los rebeldes, que en número de 300 de á pie y 100 caballos con un cañón de á tres , mandados por el ca…</t>
  </si>
  <si>
    <t>…stro Soberano que tienen acreditado estos valientes realistas. ,,Dios guarde á V. E. muchos años. Zacoalpan Febrero 22 de 1817.= Excmo. Sr. = Eugenio de Villasana. = Excmo. Sr. vi rey D. Juan Ruiz de Apodaca.” Parte del comandante de armas de Tasco D. Tomas Cagigal. ,,Para proteger la molienda del trapiche de D. Antonio Gómez en el pueblo de Chontalcuatlan fijé en él un destacamento de 20 infantes realistas, al que atacaron los rebeldes del cabecilla Vargas el 4…</t>
  </si>
  <si>
    <t>…probación me remita las corres pondientes cédulas de indultos. ,, Dios guarde á V. E. muchos años. Valladolid Marzo 6 de 1817.= Excmo. Sr. = Antonio de Linares. = Excmo. Sr. virey D. Juan Ruíz de Apodaca.” Lista de los individuos que se kan presentado implorando la Real gracia del indulto en la demarcación de Mechonean de mi cargo desde i.° de Febrero de 18 ij. „Dr. D. Josef María Cos, que se titulaba teniente general de la provin cia de Mechoacan, y vocal de…</t>
  </si>
  <si>
    <t>…e 70 leguas por ios caminos mas ásperos de la sierra. „ Dios guarde á V. E. muchos años. Mesa de S. Diego Marzo 5 de 1817.= Excmo. Sr. = Francisco de las Piedras. Excmo. Sr. virey D. Juan Ruiz de Apodaca.” Parte del capitán T&gt;. Josef Antonio del Callejo. ,,Ha sido muy oportuna, y como dictada por vmd., la correría que me ordenó hiciera sobre Tutotepec, pues ya los rebeldes cabecillas Juan Soriano, el Chino, Rocha, Angel Perea, Andrés Galicia, Astacio Gaona y…</t>
  </si>
  <si>
    <t>…o conocimiento, recomendando á los individuos que expresa. ,, Dios guarde á V. E. muchos años. Ixtlahuaca Marzo 14 de 1817.= Excmo. Sr. = Matías Martin y Aguirre.=Excmo. Sr. virey D. Juan Ruiz de Apodaca.” Parte del capitán J&gt;. Vicente Filisola. „Recibida la órden de vmd. para que marchara al pueblo de Ucareo y sus inmediaciones, con el intento de perseguir al bandido Juan Alvarez , alias el Tuerto, que vmd. me comunicó había dormido la noche anterior en Ran~</t>
  </si>
  <si>
    <t>…ven taja? y al teniente D. Benito Aguirre que le acompañó. „Dios guarde á V. E. muchos años. Ixtlahuaca Marzo 14 de 1817.= Excmo. Sr. = Matias Martin y Aguirre. = Excmo. Sr. virey D. Juan Ruiz de Apodaca.” Parte del capitán ZX 'Valentín Amador, „Impuesto de hallarse en el pueblo de Sta. Cruz la gavilla del sacrilego clérigo Izquierdo, dispuse mi marcha por caminos extraviados, dejando en Temascaltepec al capitán D. Eugenio Barreda con su partida de dragones p…</t>
  </si>
  <si>
    <t>…secuencia de las órdenes que aquel gefe dió á este oficial. ,,Dios guarde á V. E. muchos años. Queretaro Marzo 12 de 1817.= Excmo. Sr. = Ignacio García Rebollo. = Excmo. Sr. virey D. Juan Ruiz de Apodaca.” Varíe del teniente coronel graduado D. Ildefonso de la Torre y la Cuadra. ,,Como dije á V. S. marchó el teniente D. Josef María Arroyo á con ducir el pliego egecutivo para el comandante del Potosí hasta Casas Viejas, en donde lo entregó á aquel comandante m…</t>
  </si>
  <si>
    <t>…de Viilaseñor, y el de los oficiales y tropa de su sección. „ Dios guarde á V. K. muchos años. Queretaro Marzo 12 de 1817.= Excmo. Sr. = Ignacio García Rebollo. = Excmo. Sr. virey D. Juan Ruiz de Apodaca.” Partes del capitán Z). Cristóbal Viilaseñor. ,, El teniente D. Domingo Rosso, que salió con una partida á explorar las inmediaciones de esta hacienda , ha cogido prisionero al capitán de rebel des Josef María Candon , que se hallaba en el camino de Casas Vi…</t>
  </si>
  <si>
    <t>…de Cadereita teniente coronel D. Manuel de la Llata Saenz. ,, Dios guarde á V. E. muchos años. Queretaro Marzo 12 de 1817.= Excmo. Sr.= Ignacio García Rebollo. s= Excmo. Sr. virey D. Juan Ruiz de Apodaca.” Parte del teniente coronel D. Manuel de la Llata Saenz. ,jDe ios destacamentos de realistas fieles de Sama Bárbara , Bernal, Detiga , Santa María Peñamillera &amp;c. reuní 68 hombres, que al mando de los oficiales teniente D. Juan Ortega y alférez D. Dionisio J…</t>
  </si>
  <si>
    <t>1316</t>
  </si>
  <si>
    <t>…parte oficial que acompaño á V. E. para su superior conocimiento. ,, Dios guarde áV. E. muchosaños. Puebla Marzo 12 de i8i7.=ExceIentísimo Sr.=Ciriaco de Llano.erExemo. Sr. virey D. Juan Ruiz de Apodaca.” Parte del coronel D. Rafael Bracho. ,,Consecuente al oficio de V. S. del 20 dispuse que el sargento mayor D. Ignacio de la Villa marchase con una sección la madrugada del 26 con dirección á Ixtapan, adonde llegó-á las 9 de la mañana, logrando sorpren-</t>
  </si>
  <si>
    <t>1318</t>
  </si>
  <si>
    <t>…su importe entre la tropa que concurrió á la acción indicada. „Dios guarde á V. E. muchos años. Puebla Marzo 12 de i8i7. = Excelentísimo Sr. = Ciríaco de Llano. = Excmo. Sr. virey D. Juan Ruiz de Apodaca.” Parte del captan T&gt;. Gaspar García. „En oficio de ayer le participé á vmd. que salía de Piaxtla á las dos de la tarde con el objeto de lograr sorprender á los cabecillas Cuellar, Ensal dos, Herrera y Timoteo, como efectivamente lo verifiqué, caminando de la…</t>
  </si>
  <si>
    <t>PDF p. 9</t>
  </si>
  <si>
    <t>…ga. ,,Todo lo que pongo en noticia de V. E. para su superior conocimiento. „Dios guarde á V. E. muchos años. Villa de León i.* de Agosto de 1817. = Excmo. Sr.=Juan Rafols.= Excmo. Sr. D. Juan Ruiz de Apodaca.” 2.0 ,, Excmo. Sr.: Adjuntas remito á V» E. por cordillera violenta copias de las noticias que he adquirido de Guanajuato y Silao, por las que se impon drá V. E. de la situación del egército dei señor general D. Pascual de Liñan. „DÍos guarde á V. E. muchos…</t>
  </si>
  <si>
    <t>…, como causa de que redundó el logro de la enunciada prisión. „ Dios guarde á V. E. muchos años. Cuernavaca Marzo 14' de 1817.=: Exento. Sr. = Justo de Huidobro.= Exemo. Sr. virey D. Juan Ruiz de Apodaca." Parte del teniente de realistas I). Julián Xamorategui. 33 Con ios 21 realistas de la segunda y quinta compañías de granaderos</t>
  </si>
  <si>
    <t>…acredita su parte de 24 de Febrero último dado des de Huaurla. „Dios guarde á V. E. muchos años. Nautla Marzo 10 de i8i7.=Exceíentísimo Sr. = Benito de Armiñan. = Excmo. Sr. virey D. Juan Ruiz de Apodaca.” Parte del capitán D. Antonio Cortés. ,,Como participé ávmd. en mi último oficio, fecha 13 del corriente, em prendí mi marcha el 14 á las cuatro de la mañana con dirección al cantón de Palo Blanco, con la corta fuerza de 65 hombres de infantería y caballería…</t>
  </si>
  <si>
    <t>1428</t>
  </si>
  <si>
    <t>…papel de un insurgente ordinario. Dios guarde á V. E. muchos años. Cuartel general en el fuerte del Sombrero Agosto 20 de 1817. = Excmo. Sr. = Pascual de Liñan.= Excmo. Sr. virey D. Juan Ruiz de Apodaca.” ! S. E..espera el parte circunstanciado que ofrece dar el Sr. D. Pascual de Liñan de las acciones que hubo en el sitio y toma del referido fuerte del Som brero , para premiar en nombre del Rey nuestro Señor á los individuos que se hubieren distinguido en el…</t>
  </si>
  <si>
    <t>Apodaca, Tuan Ruiz de</t>
  </si>
  <si>
    <t>Tuan Ruiz de Apodaca</t>
  </si>
  <si>
    <t>…onveniente. Lo que comunico á V. E. para su superior conocimiento. Dios guarde á V. E. muchos años. Puebla 3 de Febrero de 1817.= Excmo. Sr. = Ciríaco de Llano. = Excmo. Sr. virey D. Tuan Ruiz de Apodaca. Parte que se cita en el anterhr. Los rebeldes que ocupaban los atrincheramientos sobre el oerro de Piastla se fugaron la noche de ayer. La prevención de realistas fieles de Huojuapan, notando no corrian la palabra, y el mucho ladrar de los perros, lo infirie…</t>
  </si>
  <si>
    <t>Apodaea, Juan Ruiz de</t>
  </si>
  <si>
    <t>Juan Ruiz de Apodaea</t>
  </si>
  <si>
    <t>…da. „Todo lo que participo á V. E. para su superior conocimiento. „Dios guarde á V. E. muchos años. Chalco Marzo 19 de 18 17. = Exce lentísimo Sr.=Bernardo López.=Excmo. Sr. virey D. Juan Ruiz de Apodaea.” CUERNA VACA. Oficio del capitán comandante D. Justo de Huidobro. ,,Cori el respeto debido elevo á las superiores manos de V. E. el parte original que al regreso de su expedición me ha dado el teniente de realistas de este escuadrón D. Juan Zamorátegui, rela…</t>
  </si>
  <si>
    <t>Ar</t>
  </si>
  <si>
    <t>…letras del lugar de Puebla nue ra, jurisdicción de Talavera de la Reina, cuya dotación son 4® rs. anuales paga dos mensualmente; un real diario con que contribuye el Emo. y Excmo. Sr. Ar zobispo de Toledo, y ademas lo que paguen todos los meses los niños de los pudien tes de dicho pueblo, que consta de 600 vecinos. Los pretendientes, que han de estar examinados por el supremo Consejo de Castilla, dirigirán sus memoriales á la justicia de dich…</t>
  </si>
  <si>
    <t>Ar, Antonio</t>
  </si>
  <si>
    <t>Antonio Ar</t>
  </si>
  <si>
    <t>…edes, núm. 3, cuarto principal. Tratado metódico para la educación física é intelectual de los niños, y medios de evitar los accidentes que les exponen á morir en la infancia: por D. Antonio Ar teta, dignidad de la santa iglesia metropolitana de Zaragoza: un tomo en 4.0 Se vende en esta corte en la librería de Calleja, calle de las Carretas, frente á la im prenta Real, y en Valencia en la de Cabrerizo, á 20 rs. en rústica y 25 en pasta. Memorables s…</t>
  </si>
  <si>
    <t>Ara, Josef Gregorio</t>
  </si>
  <si>
    <t>Josef Gregorio Ara</t>
  </si>
  <si>
    <t>…n Cádiz. 1334- 1000 idem......... . En idem. ARTICULO DE OFICIO. El Rez nuestro Señor ha recibido con'agrado la siguiente exposición : ,,Señor: El corregidor de la ciudad de Ronda D. Josef Gregorio Ara gón, por sí y á nombre de su ayuntamiento, no puede menos de expo ner á V. M. que luego que se le comunicó el Real decreto é instrucción in serta en ella de 30 de Mayo anterior para el nuevo sistema de administra ción sabiamente establecido para satisfacer la…</t>
  </si>
  <si>
    <t>Arago, Diego</t>
  </si>
  <si>
    <t>Diego Arago</t>
  </si>
  <si>
    <t>…nuestra caballería con un ímpetu inexplicable; pero el comandante de escuadrón del pais D. Ramón García lo contuvo y dio lugar á que el teniente coronel sargento mayor de húsares D. Diego Arago nés lo envolviese, causándole una pérdida considerable. Continuaron con la mayor tenacidad las cargas de la caballería enemiga rechazadas todas bizar ramente por la nuestra apoyada de la infantería , que hizo en este dia un ser vicio importante y muy funestas…</t>
  </si>
  <si>
    <t>Aragón, Gabriel</t>
  </si>
  <si>
    <t>Gabriel Aragón</t>
  </si>
  <si>
    <t>…son los siguientes: de 300 pesos de i.° de Setiembre de 1807, núms. 17340, 20398 y 20776 D. Pedro Noiasco Castañares: 20935 D. Feliciano de Ochoa: 22806 D. Pedro Ormaechea: 22900 D. Gabriel Aragón; y 63835 y 66225 D. Manuel Callejo de Alba: de 600 pesos de i.° de Mayo de 1808, núms. 391730 Doña Catalina Gómez; y 412136 D. Julián Diaz: de 300 pesos de idem, niims. 477420 y 476798 Doña María Ignacia Galarza; los cuales se hallan reclamados por D. Bonifac…</t>
  </si>
  <si>
    <t>Aragón, Policarpo</t>
  </si>
  <si>
    <t>Policarpo Aragón</t>
  </si>
  <si>
    <t>762</t>
  </si>
  <si>
    <t>…acto con un breve y enérgico discur^ so, en el cual manifestó los conatos y desvelos del cuerpo por proporcionar esta enseñanza; y habiéndose presentado en seguida los discípulos D. Policarpo Aragón , D. Josef Martínez y Yanguas, D. Domingo de Arribas y Cáceres, D. Antonio López de Córdoba, D. Ignacio Clemente, D. Josef Eu genio de Sobrado y D. Manuel María de Sobrado, y sorteándose entre ellos el orden con que debían ser examinados, explicaron la teoría…</t>
  </si>
  <si>
    <t>Aragonés, Diego</t>
  </si>
  <si>
    <t>Diego Aragonés</t>
  </si>
  <si>
    <t>…resistió á las cargas de la caballería enemiga sin ceder un palmo de terreno , asi como á los oficiales y tropa de este ilustre cuerpo: al sargento mayor de húsares de Fernando vn D. Diego Aragonés que man daba la izquierda, y maniobró oportunamente y con serenidad, asi como el capitán de este regimiento D. Juan Muñoz, que se vio cercado de enemi gos, y fue herido , salvándolo su acreditado valor, que hizo costase cara su existencia al enemigo: al tenie…</t>
  </si>
  <si>
    <t>Arana, Eugenio</t>
  </si>
  <si>
    <t>Eugenio Arana</t>
  </si>
  <si>
    <t>…lo dejase reducido á solo su recinto, en términos que ai llegar la artillería se situase en la batería de brecha, cuya construcción confié al bizarro y activo capitán de Barbastro D. Eugenio Arana y al te díente graduado de Granada D. Juan Calvet. Los cazadores llenaron á mi satisfacción sus deberes, hicieron desaparecer algunos miserables que se les presentaron por las calles, situé una fuerte reserva en la plaza mayor, y el resto de la división se es…</t>
  </si>
  <si>
    <t>…Isabel, cuyos soldados, todos del pais, se han portado con tal denuedo y bizarría, que han merecido su reconoci miento. Elogia muy particularmente al Comandante de dicho batallón Don Eugenio Arana, que ha contraido muchos méritos en aquel pais, y tiene di cho cuerpo en el mejor estado de disciplina. Igualmente recomienda á la pa ternal beneficencia de S. M. la familia del acreditado capitán de cazadores del batallón de la Reina D. Eloy García, que el d…</t>
  </si>
  <si>
    <t>Arana, Francisco</t>
  </si>
  <si>
    <t>Francisco Arana</t>
  </si>
  <si>
    <t>…a citada es cribanía; pues de lo contrario se procederá á lo que haya lugar. Por el presente se cita , llama y emplaza á D. Juan Recio, encargado de cum plir la ultima voluntad de D. Francisco Arana, vecino que fue de esta corte , para que comparezca á usar de las acciones que le competan en el juzgado del Sr. Don Joaquín Almazan, del Consejo de S. M., teniente primero de corregidor de esta heroica villa de Madrid, y por la escribanía del número del carg…</t>
  </si>
  <si>
    <t>Arana, Francisco de</t>
  </si>
  <si>
    <t>Francisco de Arana</t>
  </si>
  <si>
    <t>…or el juzgado del Sr. D. Joaquín Almazan, del Consejo de S. M., teniente corregidor de esta villa, y escribanía del número de D. Ciistóbal de Vicuña, se han reclamado por parte de D. Francisco de Arana, vecino del lugar de Onton, provincia de Santander, cinco vales Reales de 150 pesos de i.° de Enero, señala dos con los números 224606, 234340, 274491, 318097 y 338325, que dijo se le habían extraviado en su casa, y solicitó su retención en la Dirección del C…</t>
  </si>
  <si>
    <t>Arancibia, Josef María</t>
  </si>
  <si>
    <t>Josef María Arancibia</t>
  </si>
  <si>
    <t>…dose del mismo modo el alférez del Príncipe D. Tomas Ubilla , que mandaba la bóveda prin cipal, el P. Fr. Rafael Martínez, del orden de S. Agustín, capellán de esta división, y el capitán D. Josef María Arancibia, que voluntariamente y al gunos meses sin sueldo, me acompaña á todas las expediciones. „ Faltaría á mi deber si dejase de participar á vmd. el mérito contraído por la partida de indultados á cargo de D. Manuel y D. Miguel Vázquez, y D. Josef de Jesús Calderó…</t>
  </si>
  <si>
    <t>Aranda, Francisco Mesia Chacón y</t>
  </si>
  <si>
    <t>Francisco Mesia Chacón y Aranda</t>
  </si>
  <si>
    <t>Gaceta de Madrid n.º 76</t>
  </si>
  <si>
    <t>…. D. Miguel Sain.z de Toledo ^ presbítero en la villa de Almodovar del Pi nar, provincia de Cuenca, en varios documentos de créditos contra la Real hacienda 28500 rs. y 5 mrs. vn. D. Francisco Mesia Chacón y Aranda, vecino de Ubeda, en varios recibos de dinero entregado para el ejército 31072 rs., 39 fanegas de grano, 11 arrobas de aceite, y 1500 rs. que últi mamente ha entregado en dinero. D. Nicolás Vicente Moreno, presbítero en la villa de Montalvarejo, en réditos de…</t>
  </si>
  <si>
    <t>Arandía, Damian</t>
  </si>
  <si>
    <t>Damian Arandía</t>
  </si>
  <si>
    <t>…e Sancli ez, y ha quedado en esta ciudad con el empleo de capitán de la partida de indultados con quienes se presentó, y son los siguientes: D. Manuel Oteiza, D. Antonio Trevíño , D. Damian Arandía , D. Remigio Nieto , D. Igna cio Améscua , D. Juan Pineircs, D. Rías Arandía, Aniceto Acosta, Cayeta no Quintana, Rafael Vega , Agustín Navarrete, Antonio Castrejon, Vicente Perez , Josef María Perez , Josef María Sánchez, Miguel Salas é Isabel Costilla. „Paz…</t>
  </si>
  <si>
    <t>Arandía, Rías</t>
  </si>
  <si>
    <t>Rías Arandía</t>
  </si>
  <si>
    <t>…de indultados con quienes se presentó, y son los siguientes: D. Manuel Oteiza, D. Antonio Trevíño , D. Damian Arandía , D. Remigio Nieto , D. Igna cio Améscua , D. Juan Pineircs, D. Rías Arandía, Aniceto Acosta, Cayeta no Quintana, Rafael Vega , Agustín Navarrete, Antonio Castrejon, Vicente Perez , Josef María Perez , Josef María Sánchez, Miguel Salas é Isabel Costilla. „Paztcuaro Marzo 6 de 18x7. = Antonio de Linares.” TELOLOAPAN. Parte del coronel…</t>
  </si>
  <si>
    <t>Arango, Alejandro María</t>
  </si>
  <si>
    <t>Alejandro María Arango</t>
  </si>
  <si>
    <t>…compañeros, y apreciaría refluyese sobre él aquella parte de consideración que pueda merecer á V. E. mi conducta eix esta campaña. Mi mayor de órdenes é interino de Extremadura el capitán D. Alejandro María Arango ha desempeñado tan á mi satisfacción las atribuciones de su encargo en todos casos, y en el de ordenar e! embarque del segundo cuerpo, quedando á la cabeza de él desde que me adelanté al de vanguardia , que no puedo menos de recomendarlo á V. E., y á inis dos…</t>
  </si>
  <si>
    <t>…eniente coronel veterano comandante de la pri mera división de milicias del Norte D. Carlos María Llórente; de tenientes coroneles en su clase á- Jos capitanes D. Lorenzo Serrano, D. Alejandro María Arango, D. Gregorio Carrizo de Llano, de Extremadura, y Doit Tuan Ateaga, de realistas de Perote; de capitanes al teniente D. Juan Basave, de Extremadura, y D. Manuel Manso, de realistas de Tampieo; de te nientes á los subtenientes D. Miguel Vitini y D. Josef Quiñon…</t>
  </si>
  <si>
    <t>Araos, Miguel de Castro</t>
  </si>
  <si>
    <t>Miguel de Castro Araos</t>
  </si>
  <si>
    <t>…s años, Madrid 26 de Febrero de 1817. El Rey nuestro Señor se ha servido conceder los empleos siguientes: En América, La capitanía general de la provincia de Yucatán al briga dier D. Miguel de Castro Araos, teniente de Rey de la plaza de Campeche: la ayudantía de la de Cunaaná á D. Melchor Hidalgo, teniente de infantería: la capitanía de llaves del Callao de Lima á D. Juan Rodríguez, subteniente de la misma arma, y la de Cartagena de Indias á D. Juan García, sa…</t>
  </si>
  <si>
    <t>Araujo, Luis de Mata</t>
  </si>
  <si>
    <t>Luis de Mata Araujo</t>
  </si>
  <si>
    <t>…es latinas, pro puestas todas por el limo. Sr. censor; respondiendo á todas sus reglas según el compendio de gramática latina del P. Diego Mello Meneses, portugués, tra ducido por D. Luis de Mata Araujo. Los de la tercera clase, habiéndoles sido señalado punto por el limo. Se ñor censor sobre la colección de autores latinos, rigieron sus oraciones, y tradujeron de repente varios trozos, unos de las selectas de Cicerón , otros de Cornelio Nepote, otros de la…</t>
  </si>
  <si>
    <t>Araujo, Luis de Mata y</t>
  </si>
  <si>
    <t>Luis de Mata y Araujo</t>
  </si>
  <si>
    <t>…ásticos secula res que deseen obtenerlas, comparecerán en esta villa personalmente 6 por medio de procurador con poderes bastantes ante el secretario de la expresada Real academia D. Luis de Mata y Araujo en el término de 60 días, que pe rentoriamente se señalan, y empezarán á correr desde la fecha de este edicto, á firmar la oposición, y acreditar con las partidas de bautismo suj'as y de sus padres* legalizadas en debida forma, y con la correspondiente inform…</t>
  </si>
  <si>
    <t>Arbizu, Manuel Josef de</t>
  </si>
  <si>
    <t>Manuel Josef de Arbizu</t>
  </si>
  <si>
    <t>…ito del reino de las Dos Sicilias con que aquel Soberano le ha agraciado en atención á los impor tantes servicios que le hizo en el congreso de Viena. En virtud de providencia del Sr. D. Manuel Josef de Arbizu, del Consejo de S. M. , su alcalde de casa y corte, que en ausencia de su compañero el Sr. D. Mar tin de Gaztanaga despacha su audiencia, refrendada de D. Manuel López de Rivas, escribano de provincia y comisiones, y del juzgado de comandancia de los Reales c…</t>
  </si>
  <si>
    <t>…ersuadir allí la perfecta salud de su tripulación, pretenderá igualmente practicar semejante trascendental en gaño en los otros parages adonde arribe. En virtud de providencia del Sr. D. Manuel Josef de Arbizu, del Consejo de S. M. , su alcalde de casa y corte, que en ausencia del Sr. D. Martin de Gaztañaga, igual alcalde de casa y corte, despacha su audiencia, refrendada de D. Manuel López de Rivas, escribano de provincia y comisiones, y del juzgado de comandan ci…</t>
  </si>
  <si>
    <t>…fecha 17 del presente, no haberse advertido la me nor novedad ni sospecha en las calenturas intermitentes y remitentes biliosas de aquella provincia. En virtud ds providencia del Sr. D. Manuel Josef de Arbizu , del Consejo de S. M., su alcalde de casa y corte, que'en ausencia de su compañero el S-. D. Mar tin de Gaztañaga despacha su audiencia, refrendada del escribano de provincia y comisiones D. Manuel López de Rivas, y á instancia del administrador secues trari…</t>
  </si>
  <si>
    <t>…ncipe, para que los señores síndicos cotejen y comprueben la legitimidad de las personas que tengan derecho á asistir y votar. En virtud de providencia de 15 del corriente mes del Sr. D. Manuel Josef de Arbizu, del Consejo de S. M., su alcalde de casa y corte , que en ausencia del Se ñor D. Martin de Gaztañaga, igual alcalde de casa y corte , despacha su audiencia, refrendada de D. Manuel López de Rivas, escribano de provincia y comisiones, y del juzgado de comanda…</t>
  </si>
  <si>
    <t>Arboleda, Antonio</t>
  </si>
  <si>
    <t>Antonio Arboleda</t>
  </si>
  <si>
    <t>…idos para ser juzgados unos á San ta Fe y otros á Popayan. Lejos de haber sido castigados todos los gefes de la insurrección, fueron perdonados, aunque no se les concedió indulto, D. Antonio Arboleda, go bernador de Caly ; D. Josef Murgueitio, comandante de las armas de Cartago, y D. Josef Fernandez Madrid, penúltimo presidente del congreso, los cuales imploraron la clemencia dei vencedor; no obstante que el "último de ellos se explicaba de un modo y obra…</t>
  </si>
  <si>
    <t>Arca, Vicente</t>
  </si>
  <si>
    <t>Vicente Arca</t>
  </si>
  <si>
    <t>…nsi nuado término, sin mas citarles ni llamarles se procederá á lo que haya lugar en derecho. Se cita y emplaza para comunicarles asuntos del mayor ínteres á D. Miguel Berrogaray, D. Vicente Arca y D. Eusebio Gratuay, ó sus apoderados en esta corte, quienes al efecto, y de orden del Excmo. Sr. capítan general de esta provincia de Castilla la Nueva, se presentarán á cualquiera hora en la casa habitación del tenien te coronel graduado D. Alfonso Leal, fiscal del consejo de…</t>
  </si>
  <si>
    <t>Arcas, Josef Antonio de</t>
  </si>
  <si>
    <t>Josef Antonio de Arcas</t>
  </si>
  <si>
    <t>viciaos D. Josef Antonio de Arcas, preso por las huestes del tirano en aquella villa, y conducido á ia cárcel pública de Gerona, donde padeció grandes trabajos. No cree haber hecho mas de lo que debió y debe á su legítimo So berano j y asi lleno de respeto y humildad ofrece este homenage á vu…</t>
  </si>
  <si>
    <t>Arce, Felipe</t>
  </si>
  <si>
    <t>Felipe Arce</t>
  </si>
  <si>
    <t>710</t>
  </si>
  <si>
    <t>…petición de la asamblea , el grado de subteniente al sar gento primero del regimiento de infantería de Valan^ey D. Josef Jareño, y de sargento primero al coracero del de la Reina D. Felipe Arce, únicos indi viduos que asistieron condecorados con la cruz de plata de dicha orden. El dia 3 á la misma hora se reunió también el capítulo en la citada Real iglesia para celebrar solemnes exequias por las almas de los caballeros difun tos de la orden, cuya o…</t>
  </si>
  <si>
    <t>Arce, Ildefonso de</t>
  </si>
  <si>
    <t>Ildefonso de Arce</t>
  </si>
  <si>
    <t>…tías Escute, comandante de la acreditada columna de cazadores, que maniobró con el mayor tino, serenidad y entusiasmo: al sargento mayor comandante del tercer batallón de Numancia D. Ildefonso de Arce, y ai ayudante mayor del mismo D. Josef María Quero, que se portaron con to da energía, y con su egemplo y persuasión lograron exaltar su tropa: al te niente coronel de caballería D. Remigio Ramos, que á pesar de que sus sol dados eran gente bisoña del pais y…</t>
  </si>
  <si>
    <t>Arce, Rafael de</t>
  </si>
  <si>
    <t>Rafael de Arce</t>
  </si>
  <si>
    <t>…iente, y le parará el perjuicio que haraé lugar.U _ D. Juan Tizón , natural, vecino y regidor decano que fue de la ciudad de Murcia dejó por albacea y juez partida de sus bienes á D. Rafael de Arce, de la misma ve cindad, el cual deseando terminar esta partición, y teniendo presente que en varias, ocasiones han salido acreedores de dicho D. Juan Tizón, para cuyo pago ha habido que vencer dificultades, y entorpecer el curso de la referida partición, cita…</t>
  </si>
  <si>
    <t>Arce, Ramón de</t>
  </si>
  <si>
    <t>Ramón de Arce</t>
  </si>
  <si>
    <t>Sarmiento en escri.bir y contar, y D. Ramón de Arce, D. Juan Gallo , Don. Benito Mendoza y Fe'rinir. Moreno en leer y doctrina cristiano; á todos ios‘ cuales se premio con una medalla de plata después de tributar las debi das gracias á sus maestros por la constante aplicación y esmero en haber contribuido con…</t>
  </si>
  <si>
    <t>Arcega, Josef Antonio de</t>
  </si>
  <si>
    <t>Josef Antonio de Arcega</t>
  </si>
  <si>
    <t>…orzada que hice la marcha, no tuve lugar de llegar con oportunidad, por distar cuatro leguas de este punto. ,,En la noche del propio dia con los oficiales de este cuerpo capitanes D. Josef Antonio de Arcega, D. Francisco Gea , D. Juan Cruz de Ansa, teniente D. Mariano Ribera , y subtenientes D. Francisco de Landa , D.Josef Manuel Mateos y D. Juan de Ansa, salí con 106 infantes y 27 caballos er&gt; busca de la chusma y de cualesquiera otra que pudiera auxiliarlos. S…</t>
  </si>
  <si>
    <t>Ardid</t>
  </si>
  <si>
    <t>…o de la redacción de estas memorias científicas. ITALIA. Ñapóles jt de Enero, S. M. trata de ir á reconocer las excavaciones que se están haciendo en Pompeya bajo la dirección del caballero Ardid. Los descubrimientos son de cada dia mas importantes, y se han presentado varios proyectos para desen terrar toda la ciudad. Seguirán á S. M. á esta visita muchos sugetos de dis tinción, y los príncipes que desean este viage para satisfacer su curiosidad. Se…</t>
  </si>
  <si>
    <t>…ctos á S. M.» que solo desean ocasiones de dar nuevas pruebas de su amor á sus príncipes legítimos. El príncipe Henrique de Prusia ha reconocido las excavaciones de Pompeya con el caballero Ardid, y se ha manifestado muy complacido, pues tiene grande afición á las artes. Siguen con grande actividad las obras mandadas hacer por S. M. para enriquecer y adornar el museo Borbon. La tranquilidad que se disfruta en todas las provincias , la seguridad de los…</t>
  </si>
  <si>
    <t>Arditi</t>
  </si>
  <si>
    <t>Gaceta de Madrid n.º 61</t>
  </si>
  <si>
    <t>…s hábiles creen ver en la Vénus una estatua digna de disputar la pree minencia á la Vénus de Médicis. Se han encontrado en ei mismo parage dos brazos de bronce con braza letes. El caballero Arditi, que dirige las excavaciones, espera que dentro de poco tiempo podrá descubrirse todo el recinto de Pompeya, lo que será una mina fecunda de objetos de las nobles artes. Estos monumentos preciosos de escultura deben transportarse al museo Borbon. Mr. Rainouar…</t>
  </si>
  <si>
    <t>Gaceta de Madrid n.º 75</t>
  </si>
  <si>
    <t>…á en el dia aplicado á hacer análisis de estas nuevas aguas. El sábado último fue S. M. en compañía del Príncipe y la Princesa de Salerno á visitar las excavaciones de Pompeya. El caballero Arditi , director general del Museo y de aquellas excavaciones , tuvo la honra de acompañar á S. M. para reconocer el contorno de la ciudad, en cuyo camino observó con particular cuidado la casa de Acteon,. una de las mas hermosas y mas bien conservadas, en donde se…</t>
  </si>
  <si>
    <t>Are, María Encarnación</t>
  </si>
  <si>
    <t>María Encarnación Are</t>
  </si>
  <si>
    <t>201</t>
  </si>
  <si>
    <t>…n el barrio de S. Vicente, y fueron igualmente examinadas sobre los mismos ramos que las anteriores, y premiadas semejantemente. Las so bresalientes fueron Doña Bárbara Esquivel , Doña María Encarnación Are nas, Doña María de la Paz Pórtela, Doña María de los Santos Romero y Doña María del Amparo Tabla, á cada una de las cuales se Ies asigno tam bién su dote &amp;c. como las anteriores. De la escuela de Sta. Justa y Rufina se examinaron seis, y la mas adelantada ent…</t>
  </si>
  <si>
    <t>Areizaga, Juan Carlos de</t>
  </si>
  <si>
    <t>Juan Carlos de Areizaga</t>
  </si>
  <si>
    <t>Gaceta de Madrid n.º 153</t>
  </si>
  <si>
    <t>…stinguidos servicios y mérito. También se ha servido S. M. conceder la gran cruz y banda de la Real y militar orden de S. Hermenegildo á los tenientes generales D. Juan Carra fa , D. Juan Carlos de Areizaga, y conde de S. Agustín de Torohermoso; á los mariscales de campo D. Pedro Ruiz de Torras, D. Tomas O-Donojú, D. Alvaro Chacón y D. Manuel Ladrón de Guevara, y al gefe de escuadra de la Real armada D. JoaquiiLde Molina, en atención á sus constantes ser vicios…</t>
  </si>
  <si>
    <t>Arellano, Vicente Rodríguez de</t>
  </si>
  <si>
    <t>Vicente Rodríguez de Arellano</t>
  </si>
  <si>
    <t>Gaceta de Madrid n.º 72</t>
  </si>
  <si>
    <t>624</t>
  </si>
  <si>
    <t>…sitio de Zaragoza, escrita en francés por Mr. Rogniat, traducida y aumentada con notas por el mismo D. Pedro Ferrer y Casaus. Tardes de la Granja: traducción libre del francés por D. Vicente Rodríguez de Arellano: tercera edición corregida: cuatro tomos en 8.° con 32 estampas finas, y al pie de cada una un epigrama moral alusivo al asunto que representa. En esta obra, cuyo primer objeto es la mejor educación de los jóvenes, se supone un padre virtuoso y sabio, que por…</t>
  </si>
  <si>
    <t>Argandoña, Francisco Casimiro González de</t>
  </si>
  <si>
    <t>Francisco Casimiro González de Argandoña</t>
  </si>
  <si>
    <t>…ndralejo á D. Francisco de Paula Díaz Recio, corregidor que era dé Estepona: para la de Autol, de nueva creación, á D. Juan Sahagun Vicente: para la de S. Lorenzo de la Parrilla á D. Francisco Casimiro González de Argandoña : par2 la de Vilialpando á D. Ginés Casanova: para la de Is Ve ga de Valcarce á D. Josef Pía y Puig|: para la de Junquera de Ambia á Don Juan Francisco Bajo: para la de Estrernera á D. Antonio Madoiell y Cas tillo: para la de Monteagudo á D. Mariano Beaumont…</t>
  </si>
  <si>
    <t>Argel, Francisco</t>
  </si>
  <si>
    <t>Francisco Argel</t>
  </si>
  <si>
    <t>…o público; y á fin de aclarar su legítima pertenencia, se mandó por dicho señor juez se comunicase traslado á D. Nicolás Antonio Llano, Pedro Martin Molins, Agustín Alegrin, Sres. D. Francisco Argel é hijos, Pablo París, Miguel Mayoral, Manuel González de la Torre y D. Josef Rubino, tenedores de los referidos vales, k quienes para que llegase á su noticia se publicase en la gaceta y diario de esta ca pital , á fin de que si se considerasen con derecho á…</t>
  </si>
  <si>
    <t>…jos, D. Vicente Carrasco y Fominaya, Doña Clara Ambite, Juan Antonio Morera, D. Josef Sala y Cam, D. Ig nacio de Arellana, D. Francisco Bolart y Goma, D. Josef Bruquera y Castell, Don Francisco Argel é hijos, y D. Lorenzo Carballo de Ledesma, para que en el preciso y perentorio término de 30 dias, contados desde la publicación de este aviso, com parezcan por sí ó por procurador con poder bastante al referido juzgado y citada escribanía í deducir el derech…</t>
  </si>
  <si>
    <t>Arguello, Félix Ximenez</t>
  </si>
  <si>
    <t>Félix Ximenez Arguello</t>
  </si>
  <si>
    <t>Gaceta de Madrid n.º 87</t>
  </si>
  <si>
    <t>772</t>
  </si>
  <si>
    <t>…como también á las comunidades religiosas y particulares de la ciudad. Los que traten de hacer solicitud lo verificarán en el término de un mes, dirigiendo sus memoriales al Lie. D. Félix Ximenez Arguello, secretario de la junta de dirección y gobierno de dicho hospital. Rudimentos históricos, ó compendio de la historia general desde el principio del mundo hasta nuestros tiempos, asi profana como eclesiástica: obra útil, espe cialmente á los jóvenes, por estar…</t>
  </si>
  <si>
    <t>Arguello, Juana Topete de</t>
  </si>
  <si>
    <t>Juana Topete de Arguello</t>
  </si>
  <si>
    <t>…e: líe dado cuenta al Rey de la sumaria formada y sentenciada en esa pla za de Badajoz, en cumplimiento de la Real orden de 16 de Febrero del año anterior, expedida á solicitud de Doña Juana Topete de Arguello, viuda de D. Toribio Grajera, conde de la Torre del Fresno, mariscal de campo, y comandante general interino que fue de esa provincia, en averiguación de la conducta militar y política que observó su difunto marido en los acaecimien tos y ocurrencias del mes…</t>
  </si>
  <si>
    <t>Arias, Antonio Sandalio de</t>
  </si>
  <si>
    <t>Antonio Sandalio de Arias</t>
  </si>
  <si>
    <t>Gaceta de Madrid n.º 17</t>
  </si>
  <si>
    <t>163</t>
  </si>
  <si>
    <t>…los Borbones. El sábado 8 del corriente, á las cuatro de la tarde, se dará principio á la enseñanza pública de agricultura en el Real jardín botánico de esta corte, al cargo de su catedrático D. Antonio Sandalio de Arias; continuando los lunes, miércoles y viernes de cada semana á la misma hora. Los que quie ran matricularse para ganar curso podrán hacerlo en dicho jardín, desde el expresado dia 8 hasta últimos del propio mes de í'ebrerp. Se previene al público que no se dará…</t>
  </si>
  <si>
    <t>Arias, Benito</t>
  </si>
  <si>
    <t>Benito Arias</t>
  </si>
  <si>
    <t>…de Ayesrarán, secretario del Rey nuestro Señor, la hice escribir por su mandado. = D. Gonzalo Josef de Vilches.rrD. Juan Benito Hermosilla. =Don Manuel de Torres.=D. Tadeo Gómez.= D. Benito Arias.^Registrada, Aquilino Escudero. =Teniente de canciller mayor, Aquilino Escudero. Por el ministerio de Marina se ha expedido la Real orden siguiente: Con motivo de haber dado parte el comandante de la fragata de guerra Sabina desde !a Ilavana sobre la separaci…</t>
  </si>
  <si>
    <t>Arias, Cosme</t>
  </si>
  <si>
    <t>Cosme Arias</t>
  </si>
  <si>
    <t>…a, D. Fermín del Pedregal y D. Ra món Casal. En álgebra D. Josef Pujadas y D. Fermín Galccran. En geometría el citado Martínez , D. Josef María Loureiro, D. Manuel María Vicario , Don Cosme Arias, D. Josef Alonso, D. Benito Pereira, D. Florencio Pereira, D. Juan Francisco Rodríguez, D. Josef Vicente Veiga, D. Joseí Abad y D. Gregorio Cancela. En trigonometría plana los mismos Martínez , Lourei ro, Galceran, Vicario, Arias, Pujadas, Cancela , D. Benito…</t>
  </si>
  <si>
    <t>Arias, Josef Rodríguez de</t>
  </si>
  <si>
    <t>Josef Rodríguez de Arias</t>
  </si>
  <si>
    <t>454</t>
  </si>
  <si>
    <t>…Circulares del Ministerio de Marina. i.a Instruido el Rey nuestro Señor de la escandalosa deserción que dia* riamente se experimenta con la Marinería de la división del Brigadier D. Josef Rodríguez de Arias, la cual no es bastante á contener ni el cuidadoso es mero con que son atendidos en el pago puntual de sus goces y raciones, ni el acreditado zelo de los Oficiales, ni la activa vigilancia de la Tropa; y en terado S. M. de las varias y diferentes causas que o…</t>
  </si>
  <si>
    <t>Nútn. 82. [f cuartos.] m GACETA DE MADRID DEL JUEVES 10 DE JULIO DE 1817. AFRICA. Túnez £f de Junio. El día 23 del mes pasado fondeó en esta bahía la división española al mando de D. Josef Rodríguez de Arias, quien habiendo pasado desde el fon deadero al arsenal y á la fortaleza llamada Goleta, fue recibido en esta con vivas y saludos de artillería, y en seguida se dirigió á la ciudad, atravesan do el lago de Cartago. El día 25 le visitaron varios magnates, y él…</t>
  </si>
  <si>
    <t>Arias, Tomas de</t>
  </si>
  <si>
    <t>Tomas de Arias</t>
  </si>
  <si>
    <t>Gaceta de Madrid n.º 10</t>
  </si>
  <si>
    <t>…. M. en la Suiza, del limo. Sr. D. Ignacio Martinez de Viliela, consejero de Castilla con hono res de la cámara, y de los señores D. Nicolás María de Sierra, del propio consejo, y D. Tomas de Arias, auditor del tribunal de la Rota, y canónigo de la metropolitana de Zaragoza; de los cuales el primero dijo á S. M. en tre otras cosas lo siguiente: „ Señor: La universidad literaria de Zaragoza nos ha comisionado para que como individuos de su claustro felic…</t>
  </si>
  <si>
    <t>Ariñiz, Valentín Ramón de</t>
  </si>
  <si>
    <t>Valentín Ramón de Ariñiz</t>
  </si>
  <si>
    <t>…mino de 20 dias, contados desde -su publicación, á todos los acreedores á los bienes quedados por la fin y muerte de Doña Manuel* Vitrian, vecina que fue de esta villa, y viuda de D. Valentín Ramón de Ariñiz, que se hallan inventariados y tasados á pedimento de sus herederos, para que en di cho término acudan á la audiencia del referido señor y repetida escribanía por me dio de procurador con poder bastante á deducir su acción; bien entendido que pa sado sin habe…</t>
  </si>
  <si>
    <t>…rmino de 15 días, contados desde su publicación, á todos los acreedores á los bienes quedados por la fin y muerte de Doña Minucia Bitrian, vecina que fue de esta villa, y viuda de D. Valentín Ramón de Ariñiz, que se hallan vendidos,</t>
  </si>
  <si>
    <t>Arizmendi, Tomas de</t>
  </si>
  <si>
    <t>Tomas de Arizmendi</t>
  </si>
  <si>
    <t>Gaceta de Madrid n.º 14</t>
  </si>
  <si>
    <t>…razón benéfico, porque la cree de la ma yor utilidad á sus amados vasallos, cuya prosperidad le ocupa de continuo. El 22 de Diciembre próximo, dia señalado al efecto por ios Sres. Don Tomas de Arizmendi, del Consejo de S. M., su oidor y gobernador de las salas del Crimen de esta Real chancillería, subdelegado de la Real junta de restablecimiento y gobierno de los colegios mayores, y D. Ramón Azpeitia Saenz de Santa María, del Consejo de S. M., auditor honora…</t>
  </si>
  <si>
    <t>Arjona, Manuel María de</t>
  </si>
  <si>
    <t>Manuel María de Arjona</t>
  </si>
  <si>
    <t>644</t>
  </si>
  <si>
    <t>…iedad patriótica de esta ciudad y so provincia celebró en obsequio del Rey nuestro Señor una junta pública so lemne, que por ausencia del limo. Sr. obispo director presidió el Dr. Don Manuel María de Arjona, canónigo penitenciario de esta santa iglesia, vice director, con asistencia de los señores general D. Juan de la Cruz Murgeon, D. Joaquín de Bernad y Vargas, corregidor; D. Pedro Domínguez, inten dente; Dr. D. Andrés de Trevilla, provisor; de otras autoridad…</t>
  </si>
  <si>
    <t>Armijo, Josef Gabriel de</t>
  </si>
  <si>
    <t>Josef Gabriel de Armijo</t>
  </si>
  <si>
    <t>…ncia he prevenido á dichos dos gefes que es indispensable que sin pérdida de tiempo traten de perseguir y atacar á los rebeldes Guerre ro y Juan del Carmen , en combinación con el coronel D. Josef Gabriel de Armijo, pues en el dia son aquellas las tínicas polillas que infestan aquel rumbo; y que al efecto me remitan luego luego una noticia circunstanciada de la situación que ocupan aquellos rebeldes, numero de sus reuniones y el de las tropas con que pueden contar dicho…</t>
  </si>
  <si>
    <t>…no, el cual declaró que no resultaba contra ellos cargo alguno. ESPAÑA. México 8 de Abril. En gaceta extraordinaria de ayer se publicaron los partes siguientes : i.° Del coronel y comandante D. Josef Gabriel de Armijo. ,,Excmo. Sr.: Cualquiera exageración seria corta para expresar la obce cación de los rebeldes de este punto de Xaliaca, cuya ventajosísima posición y bien construidos fortines, según tengo manifestado en oficios de 2} de Fe brero y 9 del corriente, les hizo…</t>
  </si>
  <si>
    <t>Armiñan</t>
  </si>
  <si>
    <t>…Sr.: A pesar de los escabrosísimos caminos y crecidos obstácu los que me presentó la intransitable cuesta de Cbiconquiaco á mi bajdda por ella, para efectuar la combinación con el Sr. Armiñan, venciéndolo todo, me hallé a las cinco y media de la mañana del 23 á una legua dictante de Misantla , desde donde rompieron un fuego vivo por derecha é izquierda de mi marcha los rebeldes, que en gran número intentaban impedirme el paso, lia dos en sus parap…</t>
  </si>
  <si>
    <t>…os rebeldes, que en este momento han sido desalojados por una sección mia de la ermita del Calvario, en donde igualmente se hallaban fortificados sobre el camino que debe traer el Sr. Armiñan, á quien con este motivo se le facilitará el paso, pues por instantes espero reunirme con él, porque oigo desde esta altura á larga distancia un vivo fuego por el rumbo de Nautla. ,, Hasta esta hora no he tenido mas que tres cazadores heridos y un ca bo , los…</t>
  </si>
  <si>
    <t>…cmo. Sr.: No fueron infundadas las sospechas que me asistían y ma nifesté á V. E. en mi oficio numero 186 hace tres horas: asi lo acredita el parte original que acompaño del señor coronel Armiñan; y mediante á que para acabar con el perverso necesita , según expresa, 200 caballos, se los voy á facilitar al momento, y saldrán á la madrugada al mando del teniente Don Juan Josef de Torres, oficial valiente y acreditado. ,, El cobarde que nos ha puesto en…</t>
  </si>
  <si>
    <t>Armiñan, Benito</t>
  </si>
  <si>
    <t>Benito Armiñan</t>
  </si>
  <si>
    <t>884</t>
  </si>
  <si>
    <t>…Woronsoff, comandan te en gefe de las tropas rusas en Francia, para ir á su cuartel general de Maubeuge. ESPAÑA. México 6 de Marzo. Continuación de los partes de Nueva-España. El coronel D. Benito Armiñan ha dirigido al Excmo. Sr. virey los partes siguientes: i.° Tengo la satisfacción de participar á V. E. la reconquista de Nautla, conseguida gloriosamente por las armas del Soberano en la mañana de hoy, y egecutada felizmente por el punto mas arriesgado de los…</t>
  </si>
  <si>
    <t>…eraciones de esta división, ha mandado=que después de dar las de bidas gracias á los gefes, oficiales y tropa que han concurrido á esta expedi ción, se recomiende especialmente al coronel D. Benito Armiñan para que S. M. se digne concederle el grado de brigadier. Igualmente lia concedido S. E. en nombre del Rey nuestro Señor los grados siguientes á los individuos de la división que siguen: De coronel de egército el teniente coronel veterano comandante de la pri…</t>
  </si>
  <si>
    <t>Armona, Manuel de Menoyo y</t>
  </si>
  <si>
    <t>Manuel de Menoyo y Armona</t>
  </si>
  <si>
    <t>…oficial que era en el año de l3o8 del archivo del supremo Consejo de la Guerra. La persona que tuvie se noticia (ó de sus herederos) se servirá comunicarla al comisario ordenador Don Manuel de Menoyo y Armona, tesorero principal de rentas de la provincia de Toledo. Instrucción sobre el arte de conservar los objetos de historia natural, precedida de algunas reflexiones sobre el estudio de las ciencias naturales: por D. Juan Mieg, director y catedrático del Real est…</t>
  </si>
  <si>
    <t>Arnau, Manuel</t>
  </si>
  <si>
    <t>Manuel Arnau</t>
  </si>
  <si>
    <t>…Saxnano: el gobierno del castillo de Hostalrich, en Cataluña, á D. Salvador Guerrero, corone) agregado al regimiento de in fantería de Valencey : la ayudantía del mismo castillo á D. Manuel Arnau, subteniente del regimiento de infantería de Jaén ; y la primera de la plaza de Santoña, en Castilla la Vieja, á D. Francisco Pardo, teniente del regimiento de infantería de Burgos. También se ha servido nombrar S. M. para la auditoría de Ceuta á Don Antonio…</t>
  </si>
  <si>
    <t>Arranz, Manuel</t>
  </si>
  <si>
    <t>Manuel Arranz</t>
  </si>
  <si>
    <t>…Carlos Martin del Romeral, establecido en esta corte, para Puertollano: en Castilla la Vieja D. Pablo Montesino para Ledesma: D. Juan Francisco Amatriain para Arnedillo: en Aragón D. Manuel Arranz , médico de la villa de Aranda de Duero,para Quinto: D. Ramón Marsonell, médico de Ateca, partido de Calatayud, para Alama: D. Antonio Turvica, médico de Iruecha , paraTiermas: D Bartolomé Sierra , médico titular de la ciudad de Mo lina, y honorario de los Re…</t>
  </si>
  <si>
    <t>Arratia, Josef</t>
  </si>
  <si>
    <t>Josef Arratia</t>
  </si>
  <si>
    <t>…s Ortiz: 397951 Banco Ra cional de S. Carlos: 399968 Doña Monica González: 406018 y 407829 D. Francisco Arxer é h-jo (.de Barcelona) 1408939 Doña María Antonia Sanz Merino: 409380 D. Josef Arratia : 41 1609 Doña María Antonia Sanz Meri no___ De 30c pesos de Ma) o de 1808: 429525 Sres. Sánchez y Lozano: 441445 y 442975 D Juan Dagés: 446152 Doña María Juliana de Angulo: 484606 D. Juan Dagés: 491660 D. Francisco Antonio de Rivacoba: 492885 y 494253 Sr. te…</t>
  </si>
  <si>
    <t>Arre, Joaquín de</t>
  </si>
  <si>
    <t>Joaquín de Arre</t>
  </si>
  <si>
    <t>1237</t>
  </si>
  <si>
    <t>…total destrucción del trai dor Mina y su gavilla. Idem 2 /. El mismo Sr. virey acaba de recibir con oficio de 10 del corriente del comandante de las provincias internas de Oriente D. Joaquín de Arre dondo los partes- siguientes: i.° Del teniente ceronel D. Felipe de la Garza. ,,Habiendo esperado en el parage de la Peña las órdenes de V. S. desde el 4 al 5 , como se 'lo participé en mi oficio de aquella fecha, y no te niendo contestación, me resolví á seg…</t>
  </si>
  <si>
    <t>Arredondo</t>
  </si>
  <si>
    <t>…dia que Mina se separó de la Marina, el P. Mier hizo lo mismo para los Estados Unidos, que nuestras tropas le siguen, y que el batallón de Fernando vil de línea está unido con el señor Arredondo/* „Y lo inserto á V. E. acompañándole el pliego que cita por cordille</t>
  </si>
  <si>
    <t>Arredondo, Joaquín de</t>
  </si>
  <si>
    <t>Joaquín de Arredondo</t>
  </si>
  <si>
    <t>…ale de las venas. Varios animales rabiosos se han cura do perfectamente por este medio. ESPAÑA. México 20 de Diciembre. El comandante general de las provincias internas orientales brigadier Don Joaquín de Arredondo avisa á esta superioridad en oficio de 27 de Noviem bre anterior, que habiendo hecho practicar varios reconocimientos en la fron tera y sobre la costa, no había observado novedad alguna, teniendo ademas colocados vigías en la bahía del Espíritu Santo y Matago…</t>
  </si>
  <si>
    <t>…l honor de ponerme en su presencia. ,,Dios guarde á V. S. muchos años. Campo de la Funda, á tres leguas de la Marina, Junio 8 de 1817. = Felipe de Garza. = Sr. comandante ge neral brigadier D. Joaquín de Arredondo." 2.0 Del mismo. „A las tres de la tarde del dia de ayer, hallándose mí tropa en va rios destinos, tuve noticia que una partida de enemigos regresaba de las tro pas dei Rey á la Marina. En aquel instante hice montar 23 hombres y ios tenientes D. Josef de Jesú…</t>
  </si>
  <si>
    <t>Arredondo, Juan de</t>
  </si>
  <si>
    <t>Juan de Arredondo</t>
  </si>
  <si>
    <t>…á los 14 meses de estudio: D. Felipe de la Puente, D. Miteo Regil, D. Jorge de Urioste, D. Juan de Murrieta y D. Ildefonso de Llano á los 20 meses: D. Anto nio de Calera á los 16: D. Juan de Arredondo á los 14 ; y D. Segundo de Olavarriaá los 22 , sin contar otros tres , que también instruidos como estos, yen igual tiempo, habían salido antes á seguir su destino. Madrid (&gt; de Enero. Al paso de S. M. la Reina nuestra Señora y su augusta hermana la Serma. Sr…</t>
  </si>
  <si>
    <t>Arriaga, Julián de</t>
  </si>
  <si>
    <t>Julián de Arriaga</t>
  </si>
  <si>
    <t>1222</t>
  </si>
  <si>
    <t>…os D. Ig nacio Martínez de Villela, manifestando lo conveniente que seria, para evi tar dicho abuso, poner en práctica en aquel puerto y en el de Velez la or den comunicada por el Sr. D. Julián de Arriaga en 1767 al intendente del departamento de Cádiz, para que á los barcos pescadores de Tarifa no se permitiese salir á pescar de noche , obligándolos á que barasen al cerrar el din en el puerto ó cerca de alguna guardia, en donde deberían recogerse los remos y…</t>
  </si>
  <si>
    <t>Arriaza</t>
  </si>
  <si>
    <t>…s en 4.0 Se hallarán en la librería de Novillo, calle de la Concepción Gerónima. En el despacho de la imprenta Real, calle de las Carretas , se encuentran las obras siguientes del Sr. Arriaza: Poesías líricas, 4.a edición en dos tomos en 8.°, impresión de Madrid en papel fino con estampas; es mas completa que la de Lon dres, y ademas se hallan corregidas las muchas erratas de que abunda aquella, á 40 rs. en pasta. —.Poesías patrióticas, en que se…</t>
  </si>
  <si>
    <t>Arroquia, Pedro Antonio de</t>
  </si>
  <si>
    <t>Pedro Antonio de Arroquia</t>
  </si>
  <si>
    <t>…Cámara , á JL&gt;. Francisco Martínez de Galinsoga, oidor decano de la audiencia de Extremadura: para la de oidor de la audiencia de Galicia, vacante por muerte ée D. Josef Oromí, á D. Pedro Antonio de Arroquia, oidor de la de Cataluña: para la vara de alcalde mayor teniente de corregidor mas moderno de esta muy heroica villa, vacante por ascenso de D. León de la Cámara Cano á la fiscalía del Almirantazgo , á D. Angel Fernandez de los Ríos : para el corregimiento de…</t>
  </si>
  <si>
    <t>Arroyo, Josef María</t>
  </si>
  <si>
    <t>Josef María Arroyo</t>
  </si>
  <si>
    <t>…do el comandante de la segunda sección volante, relativo á la aprehensión del rebelde Josef María Rozas, egecutada en el cerro del Burro por el teniente de dragones de Sierragorda D. Josef María Arroyo, á consecuencia de las órdenes que aquel gefe dió á este oficial. ,,Dios guarde á V. E. muchos años. Queretaro Marzo 12 de 1817.= Excmo. Sr. = Ignacio García Rebollo. = Excmo. Sr. virey D. Juan Ruiz de Apodaca.” Varíe del teniente coronel graduado D. Ildefons…</t>
  </si>
  <si>
    <t>Arruinan, Benito</t>
  </si>
  <si>
    <t>Benito Arruinan</t>
  </si>
  <si>
    <t>…á esta sesión, en que parece se ha tra* tado de un proyecto de ley sobre la instrucción pública. ESPAÑA. México 29 de Marzo, Continuación de los partes de Nueva-España. Oficio del coronel D. Benito Arruinan. „ Excmo. Sr.: Paso á V. E. el adjunto parte original que me ha dirigido el comandante Giiitian , por el cual se impondrá V. E. de las ventajas que han conseguido las ultimas expediciones destinadas á la persecución de los re beldes que hostilizan estas juris…</t>
  </si>
  <si>
    <t>Artacho, Benito Carretero y</t>
  </si>
  <si>
    <t>Benito Carretero y Artacho</t>
  </si>
  <si>
    <t>…dividuos del clero, únicos examinadores; ma nifestando conocimientos no vulgares sobre todas y cada una de las partes de la oración. En el segundo dia, recitada una oda latina por D. Benito Carretero y Artacho, de 10 años de edad, los de la segunda clase fueron examinados en la segunda parte de la gramática ó sintaxis, dando razón de la concordancia, regencia y accidentes de la oración. Hicieron varias oraciones latinas, pro puestas todas por el limo. Sr. censor; r…</t>
  </si>
  <si>
    <t>Arteaga, Josef de</t>
  </si>
  <si>
    <t>Josef de Arteaga</t>
  </si>
  <si>
    <t>Gaceta de Madrid n.º 15</t>
  </si>
  <si>
    <t>146</t>
  </si>
  <si>
    <t>…pueda usar la cruz y condecoración de la Lis , de que le ha hecho gracia S. M. Cristia nísima. El dia 13 del pasado falleció en esta corte á los 66 años de edad el Ex celentísimo Sr. D. Josef de Arteaga é Idiaquez, teniente general de los Rea les egércitos, comendador de Guadalcanal en la orden de Santiago , caba-</t>
  </si>
  <si>
    <t>Artigas, Martin</t>
  </si>
  <si>
    <t>Martin Artigas</t>
  </si>
  <si>
    <t>…8 de 1816. = josef María Luvian. = vSeñor teniente coronel D. Francisco de las Piedras, comandante general de esta sección.” Almanta de Doña Grodina (reino de Aragón) 20 de Mayo. D. Martin Artigas, preceptor de gramática de esta villa, tuvo en los dias 3 y 4 del corriente certámenes públicos en la iglesia parroquial de la misma, á ios que asistieron el muy ilustre ayuntamiento, capítulo eclesiástico, reli gión de S. Francisco, gefes y oficiales del reg…</t>
  </si>
  <si>
    <t>Artigas, Rafael Andreu</t>
  </si>
  <si>
    <t>Rafael Andreu Artigas</t>
  </si>
  <si>
    <t>…se acreditaron de aplicados, sobresaliendo entre todos D. Antonio Bue no , concluyendo ambos actos con su dia D. Eloy Pascual con una oración latina. El segundo dia abrió el acto D. Rafael Andreu Artigas, niño de cua tro años, con otra canción, al que siguieron D. Agustín Perez, D. Manuel Palacios y D. Bernabé García, que dieron muestras de su instrucción en la</t>
  </si>
  <si>
    <t>Artola, Antonio</t>
  </si>
  <si>
    <t>Antonio Artola</t>
  </si>
  <si>
    <t>…Sr. D. Joaquín de Almaran, del Consejo de S. M., teniente, de corregidor de esta heroica villa, y escribanía del número de D. Jacinto G-aona y Loeches, penden autos á instancia de D. Antonio Artola, presbítero &gt; sobre que se le declaren de su pertenencia y vales Reales, 4 de ellos de la creación de Enero de 300 pesos, núms. 80343, 81855,91 373 y 81878, y 3 de la creación de Setiem bre, 2 de ellos de 300 pesos, núms. 38704 y 55246, y el otro de 600 pesos…</t>
  </si>
  <si>
    <t>Arxer, Francisco</t>
  </si>
  <si>
    <t>Francisco Arxer</t>
  </si>
  <si>
    <t>…392840, 393503 y 39^004 D. Andrés Ortiz: 396537 D. Domingo Mas y Somoza: 39735 t D. Andrés Ortiz: 397951 Banco Ra cional de S. Carlos: 399968 Doña Monica González: 406018 y 407829 D. Francisco Arxer é h-jo (.de Barcelona) 1408939 Doña María Antonia Sanz Merino: 409380 D. Josef Arratia : 41 1609 Doña María Antonia Sanz Meri no___ De 30c pesos de Ma) o de 1808: 429525 Sres. Sánchez y Lozano: 441445 y 442975 D Juan Dagés: 446152 Doña María Juliana de Angulo…</t>
  </si>
  <si>
    <t>Arzamendi, Joaquin</t>
  </si>
  <si>
    <t>Joaquin Arzamendi</t>
  </si>
  <si>
    <t>…ficiales y cadetes que son acreedores jpor haberse distinguido á la superior recomendación de S. E. El teniente D. Josef María del Toro, el subteniente D. Ignacio Bobadi lla, idem D. Joaquin Arzamendi, Ídem D. Josef María Carmona, el ciru jano D. Miguel Añon, el cadete D. Francisco Rodríguez, idem D. Juan La gos, idem D. Lope Urriza, del regimiento fijo. El subteniente D. Juan Mo rilla, de la partida de España. El alférez D. Josef Mariano Campo, el ca dete…</t>
  </si>
  <si>
    <t>Arzobispo</t>
  </si>
  <si>
    <t>381</t>
  </si>
  <si>
    <t>381 A propuesta del síndico personero barón de Albalat promovió el respetable ayuntamiento esta piadosa idea, que el Excmo. Sr. Arzobispo , visitador re gio, admitió con el mayor interes comunicándola con la junta de dirección v gobierno del hospital, que aceptó el pensamiento convencida de los bene ficios que habían de resultar á la humanidad de ponerlo en egecucion. Este digno Prelado, de acu…</t>
  </si>
  <si>
    <t>Ascanio, Bernardo</t>
  </si>
  <si>
    <t>Bernardo Ascanio</t>
  </si>
  <si>
    <t>…er teniente corregidor de esta villa, y su corregidor interino, se cita* llama y emplaza á los hijos, herederos y cualesquiera, otras personas que tuviesen derecho á los bienes de D. Bernardo Ascanio, difunto, vecino que fue de esta cor te, para que dentro del término de 15 dias, contados desde el 31 del próximo pasado, comparezcan ante dicho señor y escribanía de D. Juan Villa y Oiier por sí ó por medio de procuradores con poder bastante á deducir las ac…</t>
  </si>
  <si>
    <t>Ascoa, Pedro Josef de</t>
  </si>
  <si>
    <t>Pedro Josef de Ascoa</t>
  </si>
  <si>
    <t>Gaceta de Madrid n.º 46</t>
  </si>
  <si>
    <t>408</t>
  </si>
  <si>
    <t>…es; en inteligencia de que sí no lo hiciesen las devolverá á la inten dencia de la provincia, donde deberán acudir y entenderse los interesados pasado dicho término. Por muerte de D. Pedro Josef de Ascoa, canónigo que fue de la santa iglesia de Palencia, ha quedado vacante la capellanía colativa que en la parroquial de San Sebastian de esta corte fundó la Sra. Doña Isabel María de la Cruz Aedo, primera marquesa de Ugena, para la familia del señor marques D. J…</t>
  </si>
  <si>
    <t>Asensio, Josef</t>
  </si>
  <si>
    <t>Josef Asensio</t>
  </si>
  <si>
    <t>…Sermo. Sr. Infante D. Cárlos. Comprende desde los elementos del arte calográfica hasta la letra corriente de cartas, de que se pone egemplar; repartida en 16 láminas grabadas por D. Josef Asensio, grabador de S. M. En dicha colección ha dado el autor á su forma mas ligereza y gallardía que en las que ha publicado hasta aquí, enriqueciéndola con nuevos tensos propios de la inglesa, que la hacen mas fácil, vistosa y mas del gusto del comercio. Véndese e…</t>
  </si>
  <si>
    <t>…or Mr. Simonin, profesor de matemáticas, dado á luz por Mr. Delrgardette, arquitecto pensionado de S. M. Cristianísima, y traducido al español per D. Fausto Martinez de la Torre y D. Josef Asensio, pro fesores de arquitectura y grabado. Se hallará en casa de Tieso , calle de las Carretas. EN LA IMPRENTA REAL.</t>
  </si>
  <si>
    <t>Asensio, Tomas</t>
  </si>
  <si>
    <t>Tomas Asensio</t>
  </si>
  <si>
    <t>…Miguel, D. Genaro Sal gado, D. Cándido de la Fuente , D. Josef García Vázquez , D. Aquilino Lu nar, D. Pedro Gómez, D. Celedonio Casado, D. Vicente Berdion , Don Joa quín Lumeras, D. Tomas Asensio, D. Mateo Rodriguez, D. Valentín Ga veta, D. Pedro Martin, D. Antonio Fernandez, D. Andrés Redondo, Don Federico Movilla, D. Bernardo Huelga, D. Esteban Blanco, D. Miguel Alonrso, D. Cesáreo Viguera, D. Miguel Chana, D. Antonio Castro, D. Toribio González, D.…</t>
  </si>
  <si>
    <t>Ashton</t>
  </si>
  <si>
    <t>…donde estaban colocadas las autoridades de la isla. No habiendo podido estas reprimir el alboroto, el teniente gobernador envió un destacamento del regimiento 85.0 mandado por el teniente Ashton. Xa resistencia que hizo el populacho no fue de larga duración, pues viendo que algunos de sus gefes estaban arrestados, tomaron la fuga, y solo quedó herido un paisano. Se dice que este alboroto ha sido excitado por algunos malévolos que habían esparcido ent…</t>
  </si>
  <si>
    <t>1048</t>
  </si>
  <si>
    <t>…e con toda su tripulación, lo mismo que habría hecho, dijo el capitán, con el Alligator si hubiera lle gado a disparar un solo cañonazo. A esta relación,'que es la que ha hecho el capitán Ashton, acompaña una certificación jurada de seis pasageros de los mas principales, que deponen de la verdad de ella. Idem 8. El sábado por la noche lord Sydmouth y el lord corregidor de esta ca pital tuvieron noticia de que debía haber una insurrección en Londres a…</t>
  </si>
  <si>
    <t>Asís, Francisco</t>
  </si>
  <si>
    <t>Francisco Asís</t>
  </si>
  <si>
    <t>…ciado de Lucena, y por los vecinos de la misma ciudad D. Amonio Ortiz Repiso, brigadier de los Reales egercitos; el coronel Don Antonio Polo Valenzuela, y el maestranre de Granada D. Francisco Asís de la Guerra, ha venido en concederles una medalla de distinción, que confor me al diseño presentado y aprobado será de oro, orlada con ocho rayos de plata en forma de estrella, cuyo centro lo ocupará un cerro, color simple, coronada su cima con una cruz de g…</t>
  </si>
  <si>
    <t>Asís, María Francisca de</t>
  </si>
  <si>
    <t>María Francisca de Asís</t>
  </si>
  <si>
    <t>…dos como estos, yen igual tiempo, habían salido antes á seguir su destino. Madrid (&gt; de Enero. Al paso de S. M. la Reina nuestra Señora y su augusta hermana la Serma. Sra. Infanta Doña María Francisca de Asís por la ciudad de Cór doba entre las varias diputaciones de aquel reino é inmediatos que tuvieron el honor de cumplimentarle, fue una de la Rea! audiencia de Granada compues ta de su presidente el Exorno. Sr conde de Montijo y de los oidores D. Jo sef López de…</t>
  </si>
  <si>
    <t>…e amor y fidelidad, acom pañadas del mas verdadero júbilo y alegría por vuestro feliz matrimonio con la augusta Reina Doña María Isabel de Braganza, y el de la Serma, Sra. Infanta Doña María Francisca de Asís con vuestro amado Hermano» el Sermo. Sr. Infante D. Carlos, según lo acreditó en su humilde y respe tuosa carta de 28 de Setiembre próximo. „Este cuerpo literario reconoce, Señor, tan venturoso acaecimiento como un dichoso presagio de la presente y futura pro…</t>
  </si>
  <si>
    <t>Gaceta de Madrid n.º 20</t>
  </si>
  <si>
    <t>…grabada en los corazones de aque llos habitantes.” Y habiendo felicitado asimismo á S. A. el Sermo. Sr. Infante D. Cários con motivo de su efectuado matrimonio con la Serma. Sra. Doña María Francisca de Asís , dijo lo siguiente: ,, Sermo. Sr.: Como gobernador del partido de Morella tengo la distin guida comisión, juntamente co,n su diputación, de felicitar á V. A. á nom bre de la fiel villa de Morella y su gobernación por el verificado enlace de V. A. con la Serm…</t>
  </si>
  <si>
    <t>….” Iguales expresiones de homenage y felicitación, aunque con distintas vo ces , dirigieron al Sermo. Sr. Infante D. Cárlos por su matrimonio contraí do con la Serma. Sra. Infanta Doña María Francisca de Asís. Deseosos el ayuntamiento y Real consulado de la ciudad de Santander de manifestar al Rey nuestro Señor las rendidas expresiones de júbilo por el deseado fruto de su augusto enlace que promete la actual situación de la Reina nuestra Señora, acordaron comision…</t>
  </si>
  <si>
    <t>Gaceta de Madrid n.º 51</t>
  </si>
  <si>
    <t>…,,Señor: El cabildo de Urgel creería que no era completa su satisfacción, si no manifestaba á V. A. la que tiene por su dichoso enlace con la Serenísima Señora Infanta de Portugal Doña María Francisca de Asís, sobre quienes pide á Dios derrame las mas copiosas bendiciones para consuelo y alegría de la nación. Estos son los votos de aquel ilustre cabildo , representado en su nuevo obispo y uno de sus arcedianos, que á su nombre B. á V. A. S. M.” Se han publicado en…</t>
  </si>
  <si>
    <t>…Cristóbal egerce es muy extraordinaria. ESPAÑA. • Madrid 10 de Octubre. El día 4 del corriente se vistió la corte de gala sin uniforme en celebridad de los dias de la Serma* Sra. Doña María Francisca de Asís, y concurrie ron á cumplimentar á S. A. R. los embajadores y ministros extrangeros, los grandes de España, los diputados de los reinos, los títulos, los ministros de los consejos, los generales y gefes militares, y otras varias personas, á quier nes se dignó…</t>
  </si>
  <si>
    <t>…siguiente: ,,Consecuente al indulto que con motivo de mi enlace con mi muy amada y querida Esposa la Reina, y el de mi amado y augusto Hermano el In fame D. Carlos con la Infanta Doña María Francisca de Asís, tuve á bien conceder, por un rasgo de mi Real piedad, en mi Real decreto de 29 de Setiembre del año ultimo de 18ib, á todos los presos del reino que fuesen capaces de él, y en que fue mi Real ánimo fuesen comprendidos los reos mi litares, los de la armada ,…</t>
  </si>
  <si>
    <t>…por el mismo R. Padre el dia 2 r de Noviembre próximo pasado con la debida solemnidad en la iglesia parroOjüiaí de S. Gines de esta corte, siendo su madrina la Serma.Sra. Infanta Doña María Francisca de Asís, y en su Real nombre el Excmo. Sr. D. Fer nando Qneypo de Llano, gentilhombre de cámara de S. M. con egercicio, y secretario de cámara del Sermo. Sr. Infante D. Carlos María y de su A. R. ia Serina Sra. Infanta Doña María Francisca de Asís; habiéndosele puest…</t>
  </si>
  <si>
    <t>Aslonga, Lorenzo de</t>
  </si>
  <si>
    <t>Lorenzo de Aslonga</t>
  </si>
  <si>
    <t>…expresada villa, y á cuatro ó cinco pueblos que distan de ella de una á dos leguas, y que ninguno* tiene médico. Los pretendientes dirigirán sus memoriales hasta el 10 de Agosto á D. Lorenzo de Aslonga, benefi ciado de la expresada villa. Se halla vacante una de las dos plazas de médico del lugar de Ateca , partido de Calatayud, en el reino de Aragón, cuya dotación son unos 6'3 rs. vn. sobre los propios y arbitrios, y pagados en tres plazos iguales Se admit…</t>
  </si>
  <si>
    <t>Aspiroz, Juan Joáef</t>
  </si>
  <si>
    <t>Juan Joáef Aspiroz</t>
  </si>
  <si>
    <t>D. Juan Joáef Aspiroz, oficial que fue de la teneduría de libros delbanco nacional de S. Cárlos, comprendidos en la dimisión que hizo de sus bienes en 9 de Enero del año de 1792 , por la escribanía del número del Sr. D. Casimiro Antonio Gó mez j y se le« hace saber que este tercer…</t>
  </si>
  <si>
    <t>Aspiroz, Juan Josef</t>
  </si>
  <si>
    <t>Juan Josef Aspiroz</t>
  </si>
  <si>
    <t>…regidor interino de esta villa, se cita á junta general que ha de celebrarse el sába do 9 de Agosto próximo á las ocho de la mañana en la posada de S. S. á todos Jos acreedores de D. Juan Josef Aspiroz, oficial que fue de la teneduría de libros del banco nacional de S. Carlos, comprendidos en la dimisión que hizo de sus bienes en 9 de Enero del año de 1792 , por la escribanía del número del Sr. D. Casimiro An tonio Gómez. E3ta citación y otra anunciada para…</t>
  </si>
  <si>
    <t>Aspret, Antonio</t>
  </si>
  <si>
    <t>Antonio Aspret</t>
  </si>
  <si>
    <t>23</t>
  </si>
  <si>
    <t>…o heridos, siendo de los primeros el teniente coronel D. Fran cisco Machado, capitán del sexto escuadrón del Real cuerpo de Artillería , y de los segundos el capiran de granaderos D. Antonio Aspret, ambos pasageros. Posteriormente el director general del expresado cuerpo de Artillería dan do parte al mismo Exemo. Sr. ministro de la Guerra del falhcimiento de Machado, hizo presente los méritos de este digno oficial, que scbresalió des de el principio de…</t>
  </si>
  <si>
    <t>Asturias, Principe de</t>
  </si>
  <si>
    <t>Principe de Asturias</t>
  </si>
  <si>
    <t>…el teniente de navio D. Manuel Balay de 31526 rs. y 30 mrs. vn. que alcanzaba por haberes vencidos hasta el 29 de Enero último en que murió. Ceremonial para eí bautismo del Sermo. Sr. Principe de Asturias. Vendese á 8 cuartos en el despacho de la imprenta Real, __En el mismo despacho se hallará igualmente á dicho precio el Ceremonial de la Serma. Sra, Infanta; y los dos unidos á 2 rs.. En virtud de providencia del supremo. Consejo de Almirantazgo se cita , lbu…</t>
  </si>
  <si>
    <t>Asua</t>
  </si>
  <si>
    <t>…ubir hasta ponerme en la cima, y habiéndo lo conseguido Ies rompí un fuego graneado, que me correspondieron en los mismos términos; y después de una hora de tiroteo advertí que el teniente Asua ra les estaba atacando por el rumbo que le habia destinado, y á la media hora me encontré con el punto libre, habiéndoles causado la pérdida de 2r muertos y muchos heridos, 2 mulatos prisioneros, tomándoles 2 fusiles, una carabina, un par de pistolas y 20 bes…</t>
  </si>
  <si>
    <t>Asuara</t>
  </si>
  <si>
    <t>…o de la gente. ,,Al momento que logré verme en la altura de las lomas rompí el fuego á los rebeldes que se me presentaron, cumpliendo exactamente con la orden que le habia dado el teniente Asuara de que verificase lo mismo oyendo lo</t>
  </si>
  <si>
    <t>…no podía cubrirse la tro pa de modo que no fuese vista por los rebeldes; dispuse continuar mi mar cha con la mitad de la tropa, y que la otra mitad quedase emboscada al mando del teniente Asuara, y que este se mantuviese quieto hasta que me oyese romper el fuego por la izquierda, que entonces avanzase con la caba llería por la derecha en fuerza de carrera hasta subir á la mesa. ,,Siguiendo mi camino sin hacer caso de la gritería y burla de los enemi…</t>
  </si>
  <si>
    <t>Asuara, Félix</t>
  </si>
  <si>
    <t>Félix Asuara</t>
  </si>
  <si>
    <t>…ía y obscenidades que acostumbra esta vil gente; y pareciéndome no debia dejar sin castigo á estos, y continuar mi marcha dejando enemigos á la espalda, dispuse que mi ayudante el teniente D. Félix Asuara con 40 infantes tomase la izquierda de la loma y desfilase, introduciéndose por el monte, y procu rando no ser visto les tomase la retaguardia , y que al mismo tiempo que oyese romper el fuego por la derecha hiciese lo mismo por su pumo; orde nando que por el…</t>
  </si>
  <si>
    <t>Ateaga, Juan de</t>
  </si>
  <si>
    <t>Juan de Ateaga</t>
  </si>
  <si>
    <t>…echo de un modo inexplicable, asi como la tropa que han tenido el ho nor de mandar: y reconocido igualmente á todos los demas, recomiendo á V. E. al capitán de realistas de Perote D. Juan de Ateaga, á quien mi se gundo empleó en su vanguardia por la confianza que le merece y le ha acre ditado en todas las acciones de guerra, como igualmente al ayudante de este gefe D. Manuel Manso, teniente de realistas de Tampico; al subteniente de Extremadura D. Josef…</t>
  </si>
  <si>
    <t>Ategui, Pió Salces de</t>
  </si>
  <si>
    <t>Pió Salces de Ategui</t>
  </si>
  <si>
    <t>…al permiso para usar la condecoración de la ñor de Lis con que S. M. Cristianísima le ha agraciado. Atendiendo el Rey nuestro Señor á los méritos y servicios que tiene con traídos D. Pió Salces de Ategui , coronel del regimiento de infantería de la Corona &gt; se ha dignado concederle su Real permiso para que pueda usar la</t>
  </si>
  <si>
    <t>Au</t>
  </si>
  <si>
    <t>…á la cámara; mas antes de alegar razón al guna en apoyo del proyecto de ley que se está discutiendo, será preciso res ponder á algunos de los argumentos hechos por mi noble amigo lord Au kland.-__En primer lugar ha dicho que no habia un riesgo inminente ni de consideración, pues no se veía al frente del populacho propietario alguno ni otro hombre de importancia. Esta aserción, por mas plausible y cierta que parezca, no es de peso alguno para…</t>
  </si>
  <si>
    <t>Auge, Pedro</t>
  </si>
  <si>
    <t>Pedro Auge</t>
  </si>
  <si>
    <t>…l, núm. 11 , cuarto principal, mari do de Doña María Je^us Yesar, muger que fue en primeras nupcias de D. Francisco García Biaños.zz Igual mente se desea saber de los herederos de D. Pedro Auge, de egercicio batero de señoras, que vivia en la Red de S. Luis. Ambos sugetos tienen derecho á la percepción de ciertos créditos manifestados por un papel reservado en la ciudad de Chinchilla; y en el caso de acreditarse ser herederos de ambos sugetos, acudi…</t>
  </si>
  <si>
    <t>Augustini</t>
  </si>
  <si>
    <t>…unio de este año. Los pretendientes podrán dirigir sus memoriales por Vaimaseda á D. Juan Manuel Gil, cura beneficiado del lugar de Villasuso, en el mismo valle. Theologia moralis D. Augustini &amp;c., por el P. Mtro. Fr. Antonio Guerrero, de la orden de S. Agustín; tres tomos en folio menor. — Egercicios espirituales del mismo: un tomo en 8.°= Clave geográfica del limo. Florez: un tomo en 8.° con tres estampas. = Política religiosa, carta de un padre…</t>
  </si>
  <si>
    <t>Aukland</t>
  </si>
  <si>
    <t>…land, el duque de Athol, el marques de Buckingham y el conde de Aberdeen. Entre los que se opu sieron á él se notan los siguientes: lord Erskine, lord St-John, el conde Grosvenor, lord Aukland y el duque de Sussex. Nos limitaremos á extractar el discurso del marques de Buckingham, quien ha adquirido en esta ocasión nuevos títulos al reconocimiento de su patria. ,,Considero, dijo el noble lord, la cuestión presente como una de las mas importantes qu…</t>
  </si>
  <si>
    <t>Aux, Lope Diez de</t>
  </si>
  <si>
    <t>Lope Diez de Aux</t>
  </si>
  <si>
    <t>…presado señor capitán general en Despeñaperros. El que supiere de su paradero ó fallecimiento se servirá comunicarlo á D. Francisco Mateo, del comercio de Salamanca, y en Madrid á D. Lope Diez de Aux, que vive calle de la Espada, núm. 13, cuarto 3.0 En la villa de Hontígola, partido de Toledo, á ocho leguas de esta corte, se ha lla vacante la plaza de capellán que diga la misa de alba, y ha de tener á su cargo la escuela de niños: su dotación serán 10 rs.…</t>
  </si>
  <si>
    <t>Avila</t>
  </si>
  <si>
    <t>…el contenido del adjunto parte. Lo que participo á V- para su inteligencia, y para que si lo tuviese á bien re comiende al Excmo. Sr. virey, asi las buenas disposiciones de dicho teniente Avila, como la actividad y prontitud con que desempeñó sus órdenes el sar gento Columga. „Dios guarde áV. mochos años. Valladolid y Noviembre 21 de 1816.= Josef de Castro. = Sr. comandante general teniente coronel D. Antonio Li nares.” Parte del teniente D. Juan de…</t>
  </si>
  <si>
    <t>Avila, Jcsef de</t>
  </si>
  <si>
    <t>Jcsef de Avila</t>
  </si>
  <si>
    <t>1285</t>
  </si>
  <si>
    <t>…ce de 30o hombres armados, ó si los tiene respe ta justamente á los fieles y valientes tasqueños. ,, Mientras hice esta marcha dejé con el mando político y militar en este real ai teniente D. Jcsef de Avila, á quien encargué su defensa y aviso opor tuno por si fuera alguna falsa llamada. „ El resultado del ataque ha sido el que consta del parte que incluyo á V. $. dado por el citado Gómez, con mas otro rebelde y caballo que han parecido muertos á las riberas del…</t>
  </si>
  <si>
    <t>Avila, Juan de</t>
  </si>
  <si>
    <t>Juan de Avila</t>
  </si>
  <si>
    <t>…ra que no se frustrase el golpe, que mediante á hallarse en la plaza la división volante del mando del teniente D. Manuel Tapia se completasen hasta 90 caballos, á las ordenes del teniente D. Juan de Avila para que sa liendo á las 10 de la noche se dirigiese al referido punto, con la prevención de que había de estar precisamente de vuelta en las primeras horas de la ma ñana del dia de hoy , lo que con efecto verificó dicho teniente con su tropa, siendo el resul…</t>
  </si>
  <si>
    <t>Ayala, Francisco</t>
  </si>
  <si>
    <t>Francisco Ayala</t>
  </si>
  <si>
    <t>Gaceta de Madrid n.º 106</t>
  </si>
  <si>
    <t>944</t>
  </si>
  <si>
    <t>…la de la Magdalena en 2200; y la del Cuartillo bajo en 7200. La persona que quisiere comprar todos, ó algunos de estos cortijos, se presentará á los caballeros regidores de Málaga D. Francisco Ayala y D. Manuel Rengel; en inteligencia de que según previene la expresada Real orden, será ad mitida cualquiera postura que cubra las dos terceras partes de la tasación que va expresada. » EN LA IMPRENTA REAL.</t>
  </si>
  <si>
    <t>Ayala, Ignacio López de</t>
  </si>
  <si>
    <t>Ignacio López de Ayala</t>
  </si>
  <si>
    <t>…ó rs. en la librería Estrangera ca lle de la Montera, núm. 38, cuarto principal. Religión, patria y honor triunfan del mas ciego amor. La Hirza, tragedia fran cesa , traducida por D. Ignacio López de Ayala: impresa en 1786, á 2 rs. en papel. Véndese en el almacén de la imprenta Real. EN LA IMPRENTA REAL.</t>
  </si>
  <si>
    <t>Ayala, Jcsef de</t>
  </si>
  <si>
    <t>Jcsef de Ayala</t>
  </si>
  <si>
    <t>…junta á la mayor brevedad posible. Por providencia del Real y supremo Consejo de Castilla, dada en 39 de Abril en los autos que se siguen por la escribanía de cámara del careo de D. Jcsef de Ayala entre D. Agustín Ricote y sucesivamente su hija Doña María con el mar ques de Corvera , vecino de Granada, sobre redención y pago de réditos de unes censos impuestos en una casa sita en la calle de Embajadores, titulada del Cura, se cita y emplaza £D. Antonio…</t>
  </si>
  <si>
    <t>Ayala, Juan de Pradas y</t>
  </si>
  <si>
    <t>Juan de Pradas y Ayala</t>
  </si>
  <si>
    <t>…su forma y dimensio nes á los mejores que se han hecho en los Estados-Unidos é Inglaterra. Le bendijo por la mañana según estilo el canónigo dignidad tesorero de la santa iglesia D. Juan de Pradas y Ayala, uno de los directores de la compañía en representación del ilustrísimo cabildo, poniéndole por nombre Real Fer nando , alias el Betis. La cspectacion pública, el ínteres y júbilo eran tan generales ,que á pesar de haber estado todo el dia lloviendo, ambas má…</t>
  </si>
  <si>
    <t>Ayala, Juan Nepomuceno de</t>
  </si>
  <si>
    <t>Juan Nepomuceno de Ayala</t>
  </si>
  <si>
    <t>…n extraordinario valor. „ El teniente prisionero se halla herido de bala en una pierna, y el sub teniente muerto se bautizó en los últimos instantes de su vida. „El padre capellán D. Juan Nepomuceno de Ayala ha desempeñado sus funciones, acreditando su valor y caridad: V. S. si lo tuviere á bien recom pensará su mérito. „ Dios guarde á V. S. muchos años. Campo del Coronel Junio 9 de i8i7.= Felipe de la Garza. = Sr. comandante general brigadier D. Joaquín de Arred…</t>
  </si>
  <si>
    <t>Ayardi, Matías</t>
  </si>
  <si>
    <t>Matías Ayardi</t>
  </si>
  <si>
    <t>…y el segundo, en que sucedió lo mismo, á Don Nicasio López y D. Josef Yarza, unos y otros de la sala de arquitectura: en la del modelo, por lo tocante á escultura , se confirió á D. Matías Ayardi; y en la parte de dibujo á D. Toribio Lahoz: en la de academias de figuras á D. Gaspar Safesa , en la de cabezas á D. Lorenzo Viscasillas, en la de prin cipios á D. Eduardo Vicente. Todos se presentaron á recibirlos de mano del vice-presidente D. Josef Sobrev…</t>
  </si>
  <si>
    <t>Aycinena, Josef de</t>
  </si>
  <si>
    <t>Josef de Aycinena</t>
  </si>
  <si>
    <t>…esmero en llevar adelan te la empresa cometida á su cuidado, procurando cumplir las benéficas mi ras del Rey nuestro Señor. Madrid i.® de Agosto. El dia 24 de Julio tuvo la honra D. Josef de Aycinena de poner en ma nos del Rey nuestro Señor por encargo del ayuntamiento de la capital de Goatemala seis medallas de oro de las que para su solemne proclamación man dó acuñar aquel fidelísimo cuerpo, en una preciosa cajita de embutidos de madera , y un egemplar…</t>
  </si>
  <si>
    <t>Ayestarán, Juan Ignacio de</t>
  </si>
  <si>
    <t>Juan Ignacio de Ayestarán</t>
  </si>
  <si>
    <t>de gobierno del mi Consejo, se le dé la misma fe y crédito que á su origi nal. Dada en Palacio á io de Julio de 1817. = YO EL REY. =Yo D. Juan Ignacio de Ayestarán, Secretario del Rey nuestro Señor,la hice escribir por su mandado. = El duque del Infantado. = D. Bernardo Riega. =D. Antonio Alvarez de Contreras. = D. Juan Antonio González CarriIlo. = D. Felipe de Sobrado. = Registrada, Aquilino Escudero. = Teniente de Can…</t>
  </si>
  <si>
    <t>Ayuso, Juan Mateo</t>
  </si>
  <si>
    <t>Juan Mateo Ayuso</t>
  </si>
  <si>
    <t>…heroica villa, y está encargado para tratar los términos y condiciones D. Salustiano Manuel González, procurador del número de la misma. Se desea saber el paradero ó existencia de D. Juan Mateo Ayuso, quien en el año de 1808 se hallaba de subteniente del regimiento de infantería de Nápoles, y en el que continuó hasta la batalla de Rioseco, que por la desorganización de aquel cuerpo pasó á la ciudad de Salamanca, su patria, y fue destinado en ella en clase…</t>
  </si>
  <si>
    <t>Ayuso, Manuel Barrio</t>
  </si>
  <si>
    <t>Manuel Barrio Ayuso</t>
  </si>
  <si>
    <t>…. Josef Diaz Rábago. Idem 3.0 Don Josef María Anchuelo y Guzman. Capellán D, León Ramón del Valle. Para el de Oviedo en Salamanca. Rector D. Manuel Luciano Alemán. Consiliario i.° D. Manuel Barrio Ayuso. Idem 2.0 D. Antonio González Miranda. Idem 3.0 D. Diego Suarez. Capellán D. Domingo Ruirnonte. En puntual egecucion de estas soberanas resoluciones ha tomado la junta las providencias oportunas para que cuanto antes se realice la apertura de los citados cinc…</t>
  </si>
  <si>
    <t>Azanza, Josef Zizur y</t>
  </si>
  <si>
    <t>Josef Zizur y Azanza</t>
  </si>
  <si>
    <t>…y Fíol, D. Miguel Jorganes y Mario, D. Antonio Venene y Andrade, D. Julián Gata y Malpica, D. Mariano Canals y May oís, D. Juan Molins y Cabañiés, D. Juan de Dios Valera y Viaña, D. Josef Zizur y Azanza, D. Tomas Mones y Puertas, D. Miguel Zizur y Azanza, D. Joaquín Basols y Marañosa, D. Josef Amat y Desvaíls, D. Pablo Navas y Loigorri, D. Josef Navarro y Alarcon , D. Agustín Blake y Tovar, D. Josef Romero Dorado, D. Manuel Vega y Romero, D. Al varo de Navia…</t>
  </si>
  <si>
    <t>Azanza, Miguel Zizur y</t>
  </si>
  <si>
    <t>Miguel Zizur y Azanza</t>
  </si>
  <si>
    <t>…ene y Andrade, D. Julián Gata y Malpica, D. Mariano Canals y May oís, D. Juan Molins y Cabañiés, D. Juan de Dios Valera y Viaña, D. Josef Zizur y Azanza, D. Tomas Mones y Puertas, D. Miguel Zizur y Azanza, D. Joaquín Basols y Marañosa, D. Josef Amat y Desvaíls, D. Pablo Navas y Loigorri, D. Josef Navarro y Alarcon , D. Agustín Blake y Tovar, D. Josef Romero Dorado, D. Manuel Vega y Romero, D. Al varo de Navia y Osorio, D. Juan de ia Lastra y Mata, D. Dionisio…</t>
  </si>
  <si>
    <t>Azaola, Juan de</t>
  </si>
  <si>
    <t>Juan de Azaola</t>
  </si>
  <si>
    <t>…logia ó tratado de vasos sanguíneos, y sobre la neurología ó tratado de nervios, y el juicio presentado por los profesores D. Antonio Dámaso Torrecilla, catedrático de anatomía, y D. Juan de Azaola, maestro de los alumnos practicantes en la clase de anatomía y enfermedades de huesos, jueces censores de este acto, con el objeto de que se distribuyan justamente los premios de emulación. Por resultado de estos antecedentes ha tenido á bien la junta adjudic…</t>
  </si>
  <si>
    <t>Azara, Eusebio Bardaxí y</t>
  </si>
  <si>
    <t>Eusebio Bardaxí y Azara</t>
  </si>
  <si>
    <t>418</t>
  </si>
  <si>
    <t>…Rey la benignidad de presentar en seguida al embajador, le honraron igualmente con las mas expresivas atenciones. Genova g de Abril. El dia 25 del pasado llegó á Turin el Exc/no. Sr. D. Eusebio Bardaxí y Azara, embajador de S. M. Católica en esta corte, y sabiendo á su llegada que S. M. el Rey de Cerdeña y su Real familia se hallaban en esta ciudad, se trasladó inmediatamente á ella, y obtuvo su primera audiencia para el dia 31 del mismo , en que la verificó con la…</t>
  </si>
  <si>
    <t>…artin de Caray, secretario de Estado y del despacho de Hacienda; duque de S. Fernando, presidente del Consejo de las Ordenes; al marques de Sotomayor, primer caballerizo de S. M.; D. Eusebio Bardaxí y Azara, embajador cerca del Rey de Cerdeña; D. Cristóbal Bencomo, confesor de S. M.; D. Juan Yanez Bahamonde, comisario general de Cruzada; Don Francisco Melgarejo, teniente general de ¡a Real armada, y capitán general del departamento del Ferrol, y al príncipe Barb…</t>
  </si>
  <si>
    <t>Azara, Eusebio de Bardaxí y</t>
  </si>
  <si>
    <t>Eusebio de Bardaxí y Azara</t>
  </si>
  <si>
    <t>…do el segundo lugar en la censura. ARTICULO DE OFICIO* En oficio dirigido al Excmo. Sr. primer Secretario'de Estado y del Des pacho con fecha de 2 de este mes, participa el Excmo. Sr. D. Eusebio de Bardaxí y Azara, embajador extraordinario de S. M. cerca de la corte de Turin, que en el dia 22 del pasado tomó posesión del ducado de Lnca en nombre de S. M. la Iiifanta de España Doña María Luisa, de cuya plausi ble noticia se ha enterado el Rey nuestro Señor con particula…</t>
  </si>
  <si>
    <t>Azara, Josef Nicolás de</t>
  </si>
  <si>
    <t>Josef Nicolás de Azara</t>
  </si>
  <si>
    <t>…causas admitidas para dispensarlos, según práctica constante de la dataría apostóli ca, conforme literalmente á la que remitió de oficio desde Roma en 5 de Julio de 1781 el Excmo. Sr. D. Josef Nicolás de Azara, ministro plenipotenciario que era entonces en aquella corte, con una tarifa formada y cangeada ministerialmente del coste fijo de las dispensas mas frecuentes, y una adición de varias que no lo son tanto, y pueden servir de gobierno para otras de igual clase…</t>
  </si>
  <si>
    <t>Aznarez, Josef</t>
  </si>
  <si>
    <t>Josef Aznarez</t>
  </si>
  <si>
    <t>Gaceta de Madrid n.º 99</t>
  </si>
  <si>
    <t>…e Yucatán, á D. Juan Josef de León, coronel del Real cuerpo de In genieros. Finalmente ha tenido á bien S. M. conferir la plaza de fiscal togado del Consejo supremo de la Guerra á D. Josef Aznarez, fiscal del juzgado de las tropas de casa ReaL El día primero de Setiembre á las cuatro de la tarde se dará principio al curso de taquigrafía castellana, ó sea al arte de escribir con tanta velocidad como se habla, y con la misma claridad que la escritura com…</t>
  </si>
  <si>
    <t>Azpiroz, Juan Bautista</t>
  </si>
  <si>
    <t>Juan Bautista Azpiroz</t>
  </si>
  <si>
    <t>804</t>
  </si>
  <si>
    <t>…primero de corregidor de esta villa, y escribanía del número de D. Antonio López Salazar, ha señalado para nueva junta de acreedores á la casa titulada yjiuda de Atienza é hijos y D. Juan Bautista Azpiroz el dia 17 de Agosto próximo á las 8 en punto de su mañana en su posada. Lo qíie se hace saber para que por sí, ó persona que Ies re presente con poder bastante, concurran á ella*, con prevención que de no verificar lo les parará el perjuicio que haya lugar. S…</t>
  </si>
  <si>
    <t>Azula, Josef de Urrutia y Egurvide</t>
  </si>
  <si>
    <t>Josef de Urrutia y Egurvide Azula</t>
  </si>
  <si>
    <t>…ermejo, capellán de honor de S. M.; D. Pablo Lorenzo Largo Carrasco , canónigo doctoral de la catedral de Cuenca ;, D. Esteban Rodrí guez Salas, canónigo de la catedral de Málaga; D. Josef de Urrutia y Egurvide Azula canónigo de la metropolitana de Valencia. Gages de secretario de S. M. A D. Francisco Hurtado de Mendoza, archivero de la primera secretaría de Estado, con honores de oficial segundo de ella. Honores de secretario de S. M. A D, Andrés de Egaña , oficial mayor…</t>
  </si>
  <si>
    <t>Azula, Josef Urrutia y Egurbide</t>
  </si>
  <si>
    <t>Josef Urrutia y Egurbide Azula</t>
  </si>
  <si>
    <t>…abriel Anacleto García Casarubios , abad de la Real colegiata de Alabanza, dignidad de la iglesia catedral de Falencia: á D. Antonio García Bermejo, capellán de honor de S. M. : á D. Josef Urrutia y Egurbide Azula, canónigo de la iglesia metrepolitana de Valencia: á D. Pablo Lorenzo Largo Carrasco, canónigo de la catedral d3</t>
  </si>
  <si>
    <t>B, T. A. de</t>
  </si>
  <si>
    <t>T. A. de B</t>
  </si>
  <si>
    <t>…y político de los europeos en el siglo xviu. Esta obra, escrita en francés al principio de la revolución, impresa en París en el año de 179/, y da da á luz ahora en castellano por D. T. A. de B., es una de las pocas que contienen mas de lo que promete su título. El lector al recorrerla podrá decir que viaja por toda la Europa, observa desde los siglos remotos los principios y progresos de la marina de las naciones, estudia las causas de su decadencia…</t>
  </si>
  <si>
    <t>Badén, Cirios Federico de</t>
  </si>
  <si>
    <t>Cirios Federico de Badén</t>
  </si>
  <si>
    <t>…de 10 consejeros, cuatro asesores, y dos presidentes. ALEMANIA. Carlsruhe 7 de Octubre. Se acaban de publicar aquí varios decretos importantes. El primero dice que el difunto gran duque Cirios Federico de Badén, abue lo del gran duque actual, por una acta de 21 de Noviembre de 1787 , hecha con consentimiento de sus sucesores, después de haber adquirido la plena y entera soberanía de sus estados,y por otra de 10 de Setiembre de 1806, tam bién con consentimiento de lo…</t>
  </si>
  <si>
    <t>Bahamonde, Juan Yanez</t>
  </si>
  <si>
    <t>Juan Yanez Bahamonde</t>
  </si>
  <si>
    <t>…sejo de las Ordenes; al marques de Sotomayor, primer caballerizo de S. M.; D. Eusebio Bardaxí y Azara, embajador cerca del Rey de Cerdeña; D. Cristóbal Bencomo, confesor de S. M.; D. Juan Yanez Bahamonde, comisario general de Cruzada; Don Francisco Melgarejo, teniente general de ¡a Real armada, y capitán general del departamento del Ferrol, y al príncipe Barberini. Cruces de mímero ,. A D JosefVilIaluengayMarfil, ministro jubilado del consejo de lodías, a D.…</t>
  </si>
  <si>
    <t>Bahi, Josef</t>
  </si>
  <si>
    <t>Josef Bahi</t>
  </si>
  <si>
    <t>…co de Llano. = Excmo. Sr. virey D. Félix María Calleja.” i.° ,,En debido obedecimiento de la orden de vmd. salí con 50 infantes del batallón i.° americano al mando del subteniente D. Josef Bahi, y 25 caba llos de mi compañía de caballería volante de esta ciudad, dirigiéndome para el pueblo de Natívitas,en donde se aprehendió al bandido Josef Marcelo Sán chez , alias Trapos Alegres, y seis caballos y una ínula ensillada del cabeci lla Montes. Dios gu…</t>
  </si>
  <si>
    <t>Baiile, Pedro</t>
  </si>
  <si>
    <t>Pedro Baiile</t>
  </si>
  <si>
    <t>…ner lo que Ies convenga, apercibidos que pasado sin haberlo hecho, sin mas citarles ni emplazarles se procederá á lo que corresponda. Habiendo hecho suspensión de pagos la casa de D. Pedro Baiile y compañía, del comercio y giro de esta corte, y acudido en tal estado ante el Sr. D. Joaquín Alma zan, del Consejo de S. M., teniente corregidor de esta villa , se ha señalado para una junta entre los mismos y sus acreedores en la posada del propio señor el…</t>
  </si>
  <si>
    <t>Baiis, Benito</t>
  </si>
  <si>
    <t>Benito Baiis</t>
  </si>
  <si>
    <t>…tuciones de aritmética y geometría práctica para uso de los jóvenes artistas, por Bailstun tomo en 8.°, á4 rs. en papel, 5 en pergamino y 6 en pasta. = Adiciones á la geometría de D. Benito Baiis, por D. Josef Mariano Vallejo: en 4.0, á 6 rs. en papel, 8 en rús tica y 11 en pasta. “Compendio de la arquitectura de Vitruvio de Mr. Perrault, traducido al castellano por D. Josef Castañeda: un tomo en 8.° mayor, á 12 rs. en papel, 14 en rústica y 18 en pas…</t>
  </si>
  <si>
    <t>Baimaseda, Fermin Martin de</t>
  </si>
  <si>
    <t>Fermin Martin de Baimaseda</t>
  </si>
  <si>
    <t>…D. Fernando vit, ó colección de Reales resoluciones expe didas por los diversos Ministerios y Consejos en todo el año de 1816: tomo g.°, dispuesto en virtud de orden de S. M. por D. Fermin Martin de Baimaseda. Al pa so que el editor de esta obra en su tomo 2.0 dió á conocer por medio de una nota, ó séase advertencia, el deseo que le animaba á darla toda la perfección posible no omitiendo como principal circunstancia en ella ninguna de cuantas resoluciones ge-</t>
  </si>
  <si>
    <t>Bajá</t>
  </si>
  <si>
    <t>…irman á las potencias berberis cas , que respeten y hagan respetar ¿as banderas de todas las potencias coa quienes el Gran Señor se halla en paz. Idem 25 de Enero. El dragomán del capitán Bajá ha pasado á pagar, en nombre de este, la visita que le hicieron el ministro plenipotenciario de S. M. D. Juan Jabat; el embajador de Francia marques de Riviére, y el internuncio de Austria ba rón de Sturmer , quienes hicieron al referido dragomán el regalo de…</t>
  </si>
  <si>
    <t>Bajo, Juan Francisco</t>
  </si>
  <si>
    <t>Juan Francisco Bajo</t>
  </si>
  <si>
    <t>…á D. Francisco Casimiro González de Argandoña : par2 la de Vilialpando á D. Ginés Casanova: para la de Is Ve ga de Valcarce á D. Josef Pía y Puig|: para la de Junquera de Ambia á Don Juan Francisco Bajo: para la de Estrernera á D. Antonio Madoiell y Cas tillo: para la de Monteagudo á D. Mariano Beaumont y Bretón: para la dé Mombeltran á D. Diego Cisneros Valencia: para la de Villanueva del Fres no á D. Lucas Vázquez Garcés: para la de Monremayor, en Castilla…</t>
  </si>
  <si>
    <t>Baladía, Pablo de</t>
  </si>
  <si>
    <t>Pablo de Baladía</t>
  </si>
  <si>
    <t>…tener todo el efecto deseado, y por consiguiente el que nuestra España pudiese pasar del estado decadente en que se halla al progresivo de /que es tan digna. En seguida el alumno D. Pablo de Baladía, teniente de infantería en el regimiento del Infante D. Cárlos , disertó sobre la siguiente proposición: Para que una nación pueda acudir á los gastos de la guerra que debe sufrir el pú blico en el estado actual de civilización de la Europa, y hacerla con ven…</t>
  </si>
  <si>
    <t>Balaguer, Félix y Dona Magdalena Bas y</t>
  </si>
  <si>
    <t>Félix y Dona Magdalena Bas y Balaguer</t>
  </si>
  <si>
    <t>…lla de Esparraguera, en Cataluña, y con D. Josef Antonio Rabert Santa Susana y Moner sobre adjudicación y pertenencia de la universal herencia y bienes que fueron de D. Pablo Bas, Don Félix y Dona Magdalena Bas y Balaguer, y los de D. Francisco y D. Ignacio Bas, se cita de nuevo, llama y emplaza por retardado ai referido D. Josef Antonio Ra bert Santa Susana y Moner, cuyo paradero se ignora, y en su defecto á sus herede ros y sucesores, para que vengan y se presenten en este s…</t>
  </si>
  <si>
    <t>Balay, Manuel</t>
  </si>
  <si>
    <t>Manuel Balay</t>
  </si>
  <si>
    <t>…a Havana.. El Rey nuestro Señor se ha servido admitir la generosa y desinteresada donación á favor del Real erario, que al tiempo de su fallecimiento ha hecho el teniente de navio D. Manuel Balay de 31526 rs. y 30 mrs. vn. que alcanzaba por haberes vencidos hasta el 29 de Enero último en que murió. Ceremonial para eí bautismo del Sermo. Sr. Principe de Asturias. Vendese á 8 cuartos en el despacho de la imprenta Real, __En el mismo despacho se hallará…</t>
  </si>
  <si>
    <t>Balbo, Próspero</t>
  </si>
  <si>
    <t>Próspero Balbo</t>
  </si>
  <si>
    <t>…. ARTICULO DE OFICIO. En la mañana del lunes 24 del pasado tuvo la honra de presentarse al Rey nuestro Señor y entregar sus credenciales en audiencia privada el Ex celentísimo Sr. conde Próspero Balbo, embajador de S. M. Sarda en esta corte, caballero de Ja sacra y militar orden de S. Mauricio y S. Lázaro, y presidente de la Real academia de ciencias de Turin, á quien recibió S. M. con especial afabilidad y agrado, manifestándoles un tiempo su soberano apr…</t>
  </si>
  <si>
    <t>Balboa, Juan Antonio</t>
  </si>
  <si>
    <t>Juan Antonio Balboa</t>
  </si>
  <si>
    <t>Donativo, suscripción o relación nominal</t>
  </si>
  <si>
    <t>…to la virtud, informado por menor de las circunstancias que concurren en tan digno francés, ha tenido á bien conce derle dicha cruz supernumeraria. El cura prior de Sta. María Fr. D. Juan Antonio Balboa, de la orden de S. Juan, ha hecho donativo al Rey nuestro Señor de 7648 rs. vn., los que se ha dignado admitir S. M., mandando que se publique en la gaceta este rasgo de generosidad para satisfacción del interesado. El Rey nuestro Señor se ha servido admitir…</t>
  </si>
  <si>
    <t>Baldelli</t>
  </si>
  <si>
    <t>…entre las dos cortes. Se cree que á esta embajada irá Mr. de Langsdorf, actualmente cónsul de Rusia en Rio-Janeiro, que ha estado ya en la China. SAXONIA. Dresde 12 de Octubre. El conde Baldelli, plenipotenciario del gran duque de Toscana, pidió ayer al Rey en audiencia solemne la mano de S. A. R. la Princesa María Ana Carlota para S. A. I. el gran duque heredero de Toscana. Habiendo consentido S. M. , asi como la Princesa que se hallaba presente en…</t>
  </si>
  <si>
    <t>li 5é buenas de la corte y del cnerpo diplomático. El conde Baldelli está convida do hoy á comer con SS. MM. y A A. Idem 79. Hoy se ha hecho la apertura de la asamblea general de los Estados. En seguida del discurso pronunciado en la capilla de palacio por Mr. Hammon, predicador del Rey, los diputados pasaron al salón llamado…</t>
  </si>
  <si>
    <t>Baldelll</t>
  </si>
  <si>
    <t>…ue eran muy hermosas, el vestuario 6¿c. Un actor joven llamado Carlsberg pereció por querer salvar algunos efectos. SAXONIA. Dresde 2 de Agosto. El 18 del mes pasado llegó aqui el conde Baldelll, gentilhombre de S. A. I. el gran duque de Toscana, encargado por su Soberano de pedir la mano de S. A. R. la Princesa María, hija tercera del Príncipe Maximiliano. ALEMANIA. Hannéver 2 de Agosto. El general Ameil, que estaba arrestado hace un año en Hildeshe…</t>
  </si>
  <si>
    <t>Baldovi, Miguel</t>
  </si>
  <si>
    <t>Miguel Baldovi</t>
  </si>
  <si>
    <t>…de Aljama, para los baños de este mismo nombre y pueblo: en la costa de Málaga á D. Juan de la Monja, médico ti tular de Pedraza de la Sierra, para Ardales: en el reino de Sevilla D. Miguel Baldovi, residente en S. Felipe de Xátiva , para Bornos: en Cataluña Don Ignacio Graells, médico de Carabanchel de abajo, para Caldas deMombuy: D. Antonio Coca, médico titular de la villa de Igualada, para Caldetas: en Extremadura D. Josef Alegre Galan, médico titula…</t>
  </si>
  <si>
    <t>Balleste, Diego</t>
  </si>
  <si>
    <t>Diego Balleste</t>
  </si>
  <si>
    <t>…e dicho año: corregida por D. Eran cisco Montalvo, teniente del regimiento de caballería de Nutnancia, 2.0 de cazado res, y aprobada por el Excmo. Sr. inspector general de ia arma D. Diego Balleste ros. Se hallará en las librería» de Matute y Rodríguez, calle de las Carretas. EN LA IMPRENTA REAL.</t>
  </si>
  <si>
    <t>Ballester, Joaquín</t>
  </si>
  <si>
    <t>Joaquín Ballester</t>
  </si>
  <si>
    <t>…calle Mayor, frente á la casa de Oñate, se vende la estampa de las Gallegas risueñas, copia del célebre cuadro de D. Bartolomé Alurilio, grabada en medio pliego de marca mayor por D. Joaquín Ballester, á 10 rs. cada una: igualmente la estampa de S. Antonio Abad, en cuartilla de marca mayor, por D. Manuel Albuerne, con otras muchas de este tamaño que forman colección de varios santos y santas, á 3 rs. cada una en negro y á 10 iluminadas. Hay tam bién buenas…</t>
  </si>
  <si>
    <t>Ballester, Josef</t>
  </si>
  <si>
    <t>Josef Ballester</t>
  </si>
  <si>
    <t>…ad de la Plata, en el vireinaro del Perú. Al tiempo de haberse dignadoS. M. admitir á los oficiales primero y quin to del cuerpo del ministerio de Marina del departamento de Cádiz D. Josef Ballester y D. Josef Trujillo las cantidades de 4734 reales y 14 mrs. que al canza por sueldos hasta fin de Diciembre último el primero, y 2001 reales el segundo por igual motivo, y que ambos han cedido en beneficio de las urgemias del Estado; se ha servido mandar que para su satisfacción…</t>
  </si>
  <si>
    <t>Ballesteros, Juan Manuel</t>
  </si>
  <si>
    <t>Juan Manuel Ballesteros</t>
  </si>
  <si>
    <t>Gaceta de Madrid n.º 41</t>
  </si>
  <si>
    <t>368</t>
  </si>
  <si>
    <t>…Miguel Rodríguez Conde, natural del lugar de la Puebla de Pedraza, provincia de Segovia, que fue soldado en el año de 1804. La persona que tuviese noticia se servirá comunicarla á D. Juan Manuel Ballesteros, que vire en la bajada de S. Martin, tercera tienda, casa del Sr. Castrillo. Los suscriptores á la traducción del ensayo sobre reconocimientos militares po drán acudir á recoger los egemplares á la librería de Dávila, calle de las Carretas; y habiendo parecid…</t>
  </si>
  <si>
    <t>Ballot, Josef Pablo</t>
  </si>
  <si>
    <t>Josef Pablo Ballot</t>
  </si>
  <si>
    <t>…morales y literarios entre el Li cenciado Carrasco, quirúrgico físico-médico; Perico Zorzal, llamado el gotoso, y D. Prudencio, teólogo místico, erudito, docto y sabio: por el Dr. D. Josef Pablo Ballot, presbítero. Se venden en la librería de Martínez, frente á S. Felipe el Real, y en Barcelona en-la de Brusi. El Espíritu del Telemaco, ó máximas y reflexiones políticas y morales del céle bre poema intitulado*. Las aventuras de Telamco, sacadas fielmente y d…</t>
  </si>
  <si>
    <t>Balzoni</t>
  </si>
  <si>
    <t>I292 posee un gabinete de antigüedades de un precio inestimable, y goza, como sabio, de gran reputación. El señor Balzoni va á ocuparse en hacer limpiar el Nilo; pero no se trata de cortar el istmo de Suez como se ha publicado en algunos periódicos de Europa. ,, El hijo del bajá ha partido para conquistar la Meca. Las noticias que se han recibido de esta expedición prometen feli…</t>
  </si>
  <si>
    <t>Banetti, Antonio</t>
  </si>
  <si>
    <t>Antonio Banetti</t>
  </si>
  <si>
    <t>1296</t>
  </si>
  <si>
    <t>…este nuevo alumbrado, adoptado ya en varias ciudades principales de Europa, ma nifestó que para verificar estos experimentos se habia valido del acreditado artista de esta ciudad D. Antonio Banetti, quien con su singular habilidad construyó los útiles y demas necesario al intento, hallándose ya este en el caso de poder disponer por sí los aparatos que se requieren para producir semejante alumbrado; y concluyó congratulándose por haber proporcionado sus…</t>
  </si>
  <si>
    <t>Banetti, Carlos Tomas</t>
  </si>
  <si>
    <t>Carlos Tomas Banetti</t>
  </si>
  <si>
    <t>…que: para el de Bedmar á D. Miguel de Luque y Medina: para el de Ponferrada á O. Nico lás Gómez Villaboa , alcalde mayor que era de Villafranca del Vterzo; y para el de Estepona á D. Carlos Tomas Banetti: para la vara de Alhendin á X). Francisco de Paula de Cárdenas : para la del Viso de Alcor á D. Amonio María de Rodas: para la de los valles de Soba, Rnesga y Villaverde á Don Manuel Tagle: para la de Baena á D. Manuel Valdés: para la de Lodosa á D. Esteban X…</t>
  </si>
  <si>
    <t>Baquedano, Anselmo</t>
  </si>
  <si>
    <t>Anselmo Baquedano</t>
  </si>
  <si>
    <t>…es si guientes : „Cada una de las tres industrias rinde productos diferentes por lo tocan te al uso; pero todos son reales y efectivos en cuanto á su valor”: sobre lo cual disertó D. Anselmo Baquedano. —— „E1 invento de cualquiera máquina es útil á los productores, y mas todavía á los consumidores”: sobre lo que disertó D. Faustino Español----- ,,E1 comercio interior que hacen las provin cias entre sí es mas ventajoso que el exterior de nación á Ración”: s…</t>
  </si>
  <si>
    <t>Bar, Éstéban</t>
  </si>
  <si>
    <t>Éstéban Bar</t>
  </si>
  <si>
    <t>…ue se titulaba teniente general de la provin cia de Mechoacan, y vocal de la llamada junta de los rebeldes; D. Ignacio Sandoval, titulado teniente coronel de la gavilla de Rayón ; D. Éstéban Bar bero, capitán de la misma; D. Cayetano Ibarra, secretario de Rayón; Don Cayetano Guerrero, teniente coronel; Francisco Hernández ,soldado; Josef María Talavera, idern; Josef Rafael Huerta, alférez; Josef Ramón Bravo, administrador de alcabalas; Josef María Ví…</t>
  </si>
  <si>
    <t>Bar, Francisco</t>
  </si>
  <si>
    <t>Francisco Bar</t>
  </si>
  <si>
    <t>…ta clase D. Eugenio Revilla, comandante de la prime ra compañía de mi regimiento, á quien encargué el mando de varias parti das por su mucha disposición; el alférez de mi compañía D. Francisco Bar bosa, que haciendo de ayudante comunicó mis órdenes, y el teniente gra duado D. Ignacio Soto por su mucho valor; el cabo segundo de cazadores de Fernando vn Diego Navarro, que mandaba la guerrilla de infantería que avistó primero á los rebeldes, y resistió su…</t>
  </si>
  <si>
    <t>Barazabal, Josef Joaquín Duran y</t>
  </si>
  <si>
    <t>Josef Joaquín Duran y Barazabal</t>
  </si>
  <si>
    <t>…ismo autor. Historia del origen, acontecimientos y acciones de guerra de la sexta división del segundo egércíto (ó sea de Soria) durante nuestra sagrada lucha, al mando del Excmo. Sr. D. Josef Joaquín Duran y Barazabal, mariscal de campo de los Reales egércitos &amp;c.: escrita por el P. D. Lino Matías Picado Franco, capellán que fue de uno de los cuerpos de la división, testigo ocular de todo, quien habiendo tenido á la vista todos los documentos necesarios, se ha propuesto es…</t>
  </si>
  <si>
    <t>Barazabal, Josef Joaquin Duran y</t>
  </si>
  <si>
    <t>Josef Joaquin Duran y Barazabal</t>
  </si>
  <si>
    <t>…pañía de impresores y libreros del reino, calle de Preciados. Origen, acontecimientos y acciones de guerra de la división soriana durante nuestra sagrada lucha al mando del Excmo. Sr. D. Josef Joaquin Duran y Barazabal, mariscal de campo de los Reales egércitos: escrita por el P. D. Lino Matías Picado Franco, capellán de uno de los cuerpos de la división: dos tomos en 8.° Se hallará en las librerías de Brun, frente á las gradas de S. Felipe el Real; de Sojo, calle de las Ca…</t>
  </si>
  <si>
    <t>Barber, Miguel</t>
  </si>
  <si>
    <t>Miguel Barber</t>
  </si>
  <si>
    <t>…or conceder, á consulta del Consejo supremo de la Guerra, á Doña María Ma nuela Gertrudis de Mendizabal, viuda del sargento mayor que fue del regi miento infantería de la Albuhera D. Miguel Barber, la pensión de 4© rs. devn. al año que la corresponde en el monte pió militar respectiva á dicho em pleo, con que desgraciadamente falleció su marido en el naufragio del navio S. Salvador , uno de los que componían en el año de 1812 la expedición des tinada á…</t>
  </si>
  <si>
    <t>Barbería, Galo</t>
  </si>
  <si>
    <t>Galo Barbería</t>
  </si>
  <si>
    <t>1040</t>
  </si>
  <si>
    <t>…l segundo Miguel Elizaide, habiéndose acer cado á merecerlos Faustino Huarte y Valentín Cartier. En la escritura de tercer orden obtuvo el primer premio Josef Vicondo y el segundo D. Galo Barbería, habiéndose acercado á merecerlos Lino Salcedo, Cosme Juan Torena, D. Xavier ZaroAntonio Blunza y Josef Brunza. En aritmética ganó el primer premio D. Mariano Lebrón y el segundo Celedonio Bayen; y fueron declarados meritorios Jorge Cartier y Martin Vidarte.…</t>
  </si>
  <si>
    <t>Barbería, Vicente</t>
  </si>
  <si>
    <t>Vicente Barbería</t>
  </si>
  <si>
    <t>Gaceta de Madrid n.º 110</t>
  </si>
  <si>
    <t>…arís......................... 1,599.. ca.. Idem., Atanasio García, ve Ninguno................. 3J9- 39“ cino de Salamanca. Antonio Requejo, 233. 4Í9vecino de la misma.. 7.a Idem., D. Vicente Barbería,. D. Fausto de Fo Bi juan Pedro Da-, ronda............. 200,703.. 34- ' guerre ,, Arana idé,, Gainza y compañía de Pamplona &amp;c.&amp;c.. Totales..................... 2.0541493 fs.. Ji es., i Lo que dé; orden de SlHl.se publica» para- jobierho de los interesados, q…</t>
  </si>
  <si>
    <t>Barberini</t>
  </si>
  <si>
    <t>…r de S. M.; D. Juan Yanez Bahamonde, comisario general de Cruzada; Don Francisco Melgarejo, teniente general de ¡a Real armada, y capitán general del departamento del Ferrol, y al príncipe Barberini. Cruces de mímero ,. A D JosefVilIaluengayMarfil, ministro jubilado del consejo de lodías, a D. Diego de la Vega .oficial de la secretaría del despacho de Ma*" r“‘ r “»*/ Cruces supernumerarias „ ,A D* Man. a,no García Puerta, veinticuatro de Granada ; D. Tos…</t>
  </si>
  <si>
    <t>Barceló, Sebastian</t>
  </si>
  <si>
    <t>Sebastian Barceló</t>
  </si>
  <si>
    <t>…español, procedente de Teodosia , con trigo, 30 dias, ídem. 3.0 Idem los Amigos, patrón Juan Roca, español, procedente de Cosloíf, con trigo y cebada, idem. 4.0 Polacra S. Josef, capitán Sebastian Barceló , español, procedente de Juslcvi, con trigo y cebada ,. idem.</t>
  </si>
  <si>
    <t>Barcena, Pedro de</t>
  </si>
  <si>
    <t>Pedro de Barcena</t>
  </si>
  <si>
    <t>…permanente y sin perjuicio alguno en la salnd, se hace saber al publico ha llarse de venta una porción considerable de dicha agua á los mismos precios .en la posada de su heredero D. Pedro de Barcena, que vive en la calle Imperial, nú mero 8, piso tercero, casa que llaman de Torroba; advirtiéndose que la persona de fuera de la corte que la necesite deberá remitir una muestra del color del pelo que guste usar, y dirigir las cartas francas de porte, Madama…</t>
  </si>
  <si>
    <t>Barclay</t>
  </si>
  <si>
    <t>…1. [5 cuartos.] 369 GACETA DE MADRID DEL MARTES 8 DE ABRIL DE 1817. RUSIA. Petersburgo 26 de Febrero, Según la nueva dislocación las tropas qu¿ forman parte del egercito del feld- mariscal Barclay deTollyse repartirán en las orillas del Dniéper y has ta las inmediaciones del Báltico. Las que están á las órdenes del general con de Bennigsen se acantonarán en el Dniéster. Acaba de publicarse en lengua rusa con la traducción alemana y france sa el viage d…</t>
  </si>
  <si>
    <t>Bardaxí</t>
  </si>
  <si>
    <t>nos de S. E. el señor caballero Bardaxí ,gran cruz de la orden de Carlos nr, embajador de S. M. Católica cerca de la corte de Turin 3 su consejero de Estado, y comisario plenipotenciario de S. M. la Infanta de España María Luisa, el duendo de Lúea en ia forma acostumbrada y mas solemne. Anunciando…</t>
  </si>
  <si>
    <t>Bardaxí, Eusebio</t>
  </si>
  <si>
    <t>Eusebio Bardaxí</t>
  </si>
  <si>
    <t>…festó la mas dulce satisfacción, admirando no solo los progresos rápidos de los jóvenes , sino el sencillo y acertado método de su digno catedrático. Condecoró este acto el Excmo. Sr. D. Eusebio Bardaxí, consejero honora rio de Estado,embajador de Turin ,que á la sazón se hallaba en esta ciudad, cuyos elogios dieron mayor brillo al egercicio. Fueron examinadores el doctor D. Diego de Parada, rector que fue de la Real universidad de Alcalá de He nares; el Dr.…</t>
  </si>
  <si>
    <t>Bardaxí, Eusebio de</t>
  </si>
  <si>
    <t>Eusebio de Bardaxí</t>
  </si>
  <si>
    <t>…s, podéis y aun debéis estar ciertos de llegar á aquel grado de felicidad, que será siempre el objeto de nuestros ardientes deseos. Lúea 22 de Noviembre de 1817. = Saurau. 3.0 Nos D. Eusebio de Bardaxí ,y Azara , caballero gran cruz de ía Real or den española de Carlos 111, caballero de la de S. Juan de Jetusalen, conse jero de Estado de S. M. Católica , su embajador cerca de la corte de Turin, y ministro plenipotenciario para tornar posesión de los estados…</t>
  </si>
  <si>
    <t>Barea, Ramón González</t>
  </si>
  <si>
    <t>Ramón González Barea</t>
  </si>
  <si>
    <t>…recibió en esta ciudad la plausible noticia del feliz alumbra miento de la Reina nuestra Señora, dispusieron los Sres. D. Matías Cabrera, corregidor de esta ciudad , y el teniente coronel D. Ramón González Barea, oficial mayor de la contaduría de propios del reino de Aragón ,que se diesen á su divina Magestad las gracias por un acontecimiento de tanto ínteres para toda la nación. Y para que esta demostración de su amor hacia las Reales Per sonas de SS. MM tuviese tod…</t>
  </si>
  <si>
    <t>Barradas, Francisco</t>
  </si>
  <si>
    <t>Francisco Barradas</t>
  </si>
  <si>
    <t>…rancisco López Alcaráz , caballero pensionista de la Real y distinguida orden espa ñola de Cirios ni, secretario de S. M. con egercicio,y ministro del supremo Consejo de Hacienda; D. Francisco Barradas, mariscal de catnpo de los Rea les egércitos, y D. Antonio Robles y Moñino, caballero pensionista de di cha Real orden , y secretario honorario de S. M., lo veriíicaron el 16 del mes de Enero último, en cuyo acto dijo el primero entre otras cosas: ,,Señor: Tr…</t>
  </si>
  <si>
    <t>Barrancos, Juan Sánchez</t>
  </si>
  <si>
    <t>Juan Sánchez Barrancos</t>
  </si>
  <si>
    <t>…de la religión D. Francisco de Paula Osuna, de Moron de la Fron tera , y D. Josef Martínez y Piedra , de la ciudad de Sanlucar de Barrameda. La magnificencia con que el presbítero D. Juan Sánchez Barrancos, cura de esta iglesia parroquial, y tesorero de la hermandad, habia hecho adornar</t>
  </si>
  <si>
    <t>Barreda, Eugenio</t>
  </si>
  <si>
    <t>Eugenio Barreda</t>
  </si>
  <si>
    <t>…Valentín Amador, „Impuesto de hallarse en el pueblo de Sta. Cruz la gavilla del sacrilego clérigo Izquierdo, dispuse mi marcha por caminos extraviados, dejando en Temascaltepec al capitán D. Eugenio Barreda con su partida de dragones para ocultar de este modo mi jornada, y que saliese en la tarde del misino día para esa villa. A mi salida puse una guerrilla á las órdenes del teniente D. Juan María del Valle, á quien acompañó mi ayudante el teniente D. Be nito Ag…</t>
  </si>
  <si>
    <t>Barreiro, Josef María</t>
  </si>
  <si>
    <t>Josef María Barreiro</t>
  </si>
  <si>
    <t>…solo por su valor y pericia, sino por los oportunos conocimientos que me ha suministrado del pais, y circunstancias del enemigo: al coronel graduado del Real cuerpo de artillería D. Josef María Barreiro, que manda-</t>
  </si>
  <si>
    <t>Barrenengoa, Hilarión</t>
  </si>
  <si>
    <t>Hilarión Barrenengoa</t>
  </si>
  <si>
    <t>Gaceta de Madrid n.º 70</t>
  </si>
  <si>
    <t>…satos. Hubo no obstante algunos que sobresalieron. En la clase de gramá tica latit a merecieron el pnmer premio en la clase de mayores D. Floren tino de T&lt; rre : en la de medianos D. Hilarión Barrenengoa el segundo, y en la de mi ñores D. Manuel Ordazgasti el tercero: en la de álgebra D. Juan Fuertes el primero, y D. Henrique Salazar el segundo: en la de aritmética el tercero D. Manuel Velasco : en la de dibujo y arquitectura D. Benito Campo el primero, D. Ra…</t>
  </si>
  <si>
    <t>Barricarte, Próspero</t>
  </si>
  <si>
    <t>Próspero Barricarte</t>
  </si>
  <si>
    <t>…itmética ganó el primer premio D. Mariano Lebrón y el segundo Celedonio Bayen; y fueron declarados meritorios Jorge Cartier y Martin Vidarte. En ortografía obtuvo el primer premio D. Próspero Barricarte y el segundo Pedro Luis Campano. En lectura mereció el primer premio Xavier Moreno y el segun do Bavil Perurena. Y finalmente en catecismo, por ser tanta la igualdad en los aspirantes, fue preciso sortear los dos premios, que tocaron el primero á Dámaso Guere…</t>
  </si>
  <si>
    <t>Barrientos, Serafín</t>
  </si>
  <si>
    <t>Serafín Barrientos</t>
  </si>
  <si>
    <t>…os, comandante acci dental de la división volante de esta provincia, por el que se enterará V. E. de la sorpresa que dispuso contra una partida de rebeldes mandada por el titulado capitán Serafín Barrientos, que con» otros 7 fueron hechos prisione ros , con los caballos y demas efectos que se les quitaron. Y lo participo á V. E. para su superior y debido conocimiento. ,,Dios guarde á V. E. muchos años. Zacatecas Febrero 13 de 1817.= Excmo. Sr. = Josef Gayangos.…</t>
  </si>
  <si>
    <t>Barros</t>
  </si>
  <si>
    <t>…n , custodiando sus familias y á este convento, arrollando á los rebeldes, causándoles algún daño, y haciéndolos replegar á su primera formación , adonde siguiéndolos con ardor el capitán Barros, me avisó mi ayudante Quintanilla que trataban de cortarle, por lo que dispuse que el capitán Rábago con el resto de ia infantería y el pedrero acudiese á protegerle. Esta providencia, y la de haberse retirado Barros á una casa contigua, donde se hallaba la p…</t>
  </si>
  <si>
    <t>Barroso, Domingo</t>
  </si>
  <si>
    <t>Domingo Barroso</t>
  </si>
  <si>
    <t>…inistrador de justicia del distrito D. Manuel Sastre, reunido con el se ñor cura Dr. D. JosefEduardo de Cárdenas en la casa de su morada, los dos vecinos honrados capitán retirado D. Domingo Barroso, y el teniente de realistas D. Francisco Quiroga y el diputado D. Josef Anselmo Rizo y Correa , certificamos y damos fe y verdadero testimonio, y en caso necesario lo rubricaremos con nuestra propia sangre, que ni al presente ni en ningún tiempo, ni directa n…</t>
  </si>
  <si>
    <t>Barsi, Isidro</t>
  </si>
  <si>
    <t>Isidro Barsi</t>
  </si>
  <si>
    <t>486</t>
  </si>
  <si>
    <t>…municólo á V. S. de Real orden para su efectivo y puntual cumplimiento. Dios guarde á V. S. muchos años. Palacio 25 de Abril de 1817. El Rey nuestro Señor se ha servido conceder á D. Isidro Barsi , vecino de la ciudad de Toledo, su Real permiso para que pueda usar de la condeco ración de la ñor de Lis con que le ha agraciado S. M. Cristianísima. El Rey nuestro Señor se ha servido conceder á D. Juan Josef Chinchilla, vecino y fabricante de curtidos de…</t>
  </si>
  <si>
    <t>Bartolo</t>
  </si>
  <si>
    <t>…gundo, individuo de la Real junta D. Vicente Martínez, de las de Navarra, Asturias, Valencia y Murcia; el tercero, Don Félix González, de las de Cataluña y Extremadura; el cuarto, D. Bartolo mé Pinera, de las de Andalucía; el quinto , D. Máximo Manuel Lorente, de las de Castilla la Vieja y Galicia; el sexto, D. Serapio Sinués, de las de Aragón , y el séptimo vocal, secretario D. Manuel Damian Perez, de las de Solan de Cabras y Alcantud en dicha C…</t>
  </si>
  <si>
    <t>Bartolomé, Jacinto de</t>
  </si>
  <si>
    <t>Jacinto de Bartolomé</t>
  </si>
  <si>
    <t>…actual catedrático de ellas ei R. P. Mtro. Fr. Toribio López, jubilado en sagrada teología, que presentó á examen sucesivamente á los discípulos colegial beca D. Sebastian Juárez, D. Jacinto de Bartolomé, natural de este sitio; á Don Pedro Izquierdo, D. Eugenio Maroto, D. Miguel Moral y D. Tomas de la Fuente, quienes respondieron con desembarazo á las preguntas que les hizo so bre el sistema de la numeración, naturaleza del número, reglas fundamen tales de la…</t>
  </si>
  <si>
    <t>Bas, Pablo</t>
  </si>
  <si>
    <t>Pablo Bas</t>
  </si>
  <si>
    <t>…ecino de la villa de Esparraguera, en Cataluña, y con D. Josef Antonio Rabert Santa Susana y Moner sobre adjudicación y pertenencia de la universal herencia y bienes que fueron de D. Pablo Bas, Don Félix y Dona Magdalena Bas y Balaguer, y los de D. Francisco y D. Ignacio Bas, se cita de nuevo, llama y emplaza por retardado ai referido D. Josef Antonio Ra bert Santa Susana y Moner, cuyo paradero se ignora, y en su defecto á sus herede ros y sucesore…</t>
  </si>
  <si>
    <t>Basave, Juan</t>
  </si>
  <si>
    <t>Juan Basave</t>
  </si>
  <si>
    <t>…e! embarque del segundo cuerpo, quedando á la cabeza de él desde que me adelanté al de vanguardia , que no puedo menos de recomendarlo á V. E., y á inis dos ayudantes de campo el teniente D. Juan Basave y el subteniente D. Miguel Vitini, ambos de Extre madura, de los cuales el primero tiene en su favor, á mas de haber distri buido mis órdenes con la mayor puntualidad, como su compañero, la reco mendación de haber acompañado al capitán D. Lorenzo Serrano en l…</t>
  </si>
  <si>
    <t>…su clase á- Jos capitanes D. Lorenzo Serrano, D. Alejandro María Arango, D. Gregorio Carrizo de Llano, de Extremadura, y Doit Tuan Ateaga, de realistas de Perote; de capitanes al teniente D. Juan Basave, de Extremadura, y D. Manuel Manso, de realistas de Tampieo; de te nientes á los subtenientes D. Miguel Vitini y D. Josef Quiñones, de Extre madura, y D. Nicolás Castillo, de Ordenes Militares; alférez vivo ai cadete de Extremadura D. Miguel Aguayo, y al asis…</t>
  </si>
  <si>
    <t>Batavia, Bulskes de</t>
  </si>
  <si>
    <t>Bulskes de Batavia</t>
  </si>
  <si>
    <t>1366</t>
  </si>
  <si>
    <t>1366 iruidos. Pasado algún tiempo salid el almirante Bulskes de Batavia con el Nassau, el María Rugersbergen y otros buques, para castigar á aquellos rebeldes y reducirlos á la obediencia; pero cuando llegaron estaban ya apo derados del fuerte los asesinos. En este estado los dejaba el buque que ha traído la noticia. Tánger 1 0 d…</t>
  </si>
  <si>
    <t>Bathursr</t>
  </si>
  <si>
    <t>…l corriente se junto el consejo de ministros, al que asistieron el lord canciller, los condes de Harrowby, de Westmoreland y de Liverpool, los vizcondes Sidmouth y Castlereagh, el conde Bathursr, el vizconde Melville, el canciller del Echiquier, los señores Bathurst y Canning , el conde Mulgrave y Wellesley Pole. La sesión duró desde las dos hasta inas de las cuatro de la tarde. El Gobierno francés acaba de negociar un empréstito de 300 millones de f…</t>
  </si>
  <si>
    <t>Bathurst</t>
  </si>
  <si>
    <t>…ar su empresa. El segundo comandante, restablecido de una enfermedad que le había detenido en Sierra Leona, luego que supo la muerte del capitán reunió la expedición* y escribió á lord Bathurst para recibir órdenes»</t>
  </si>
  <si>
    <t>Bausa, Juan</t>
  </si>
  <si>
    <t>Juan Bausa</t>
  </si>
  <si>
    <t>…archa, y rom piendo las músicas de los cuerpos, entró la división con aquel aire marcial y guerrero que es la divisa del valor y de la gloria. Con anticipación previne al teniente coronel D. Juan Bausa, comandante de la columna de cazadores que marchaba á la cabeza, arrollase cuantos obstáculos se le ofreciesen hasta apoderarse de la casa mas inmediata al fuerte enemigo, cerrase con parape tos las bocas calles , y lo dejase reducido á solo su recinto, en té…</t>
  </si>
  <si>
    <t>Bausá, Manuel</t>
  </si>
  <si>
    <t>Manuel Bausá</t>
  </si>
  <si>
    <t>PDF p. 13</t>
  </si>
  <si>
    <t>…lado el coronel de Barbastro D. Juan Cini, segundo de la división, á cuyo conocimiento y sabios consejos atribuyo la mayor parte del feliz resultado de la empresa , y el teniente coronel D. Manuel Bausá , gefe interino de estado mayor de la misma, para atender ¿ lo que pu diese ocurrir por la izquierda del asalto, y poner en práctica las medidas que se me ofreciesen dictar. Ya tomadas estas primeras providencias marchó la columna de asalto á la altura del pu…</t>
  </si>
  <si>
    <t>Bausá, Vicente</t>
  </si>
  <si>
    <t>Vicente Bausá</t>
  </si>
  <si>
    <t>…azadores, que confié al acreditado valor del teniente coronel del regimiento de la Union coronel D. Joaquín Urreiztieta ; el resto de Barbastro á las órdenes de su sar gento mayor D. Vicente Bausá quedó en reserva para que acudiese adon de fuese necesario, y la caballería de dragones con la del pais á las del co mandante de escuadrón D. Josef Navas fue á colocarse hacia el Cementerio, parte opuesta á la que se batia en brecha, con instrucciones de atac…</t>
  </si>
  <si>
    <t>Bauzil, Juan</t>
  </si>
  <si>
    <t>Juan Bauzil</t>
  </si>
  <si>
    <t>…os en el término de 30 dias, contados desde este anuncio. Los inesperados acontecimientos ocurridos en el desempeño del retrato de S. M. él Sr. D. Fernando vii , dado á grabar por D. Juan Bauzil, pintor de cámara de S. M., han retrasado cerca de un año en dar al público una obra que debía beberse dado en cuatro meses mas ó menos, según la intención del editor, cosa que espera no volverá á suceder: en este supuesto le es forzoso hacer presente tanto á…</t>
  </si>
  <si>
    <t>Bayer, Julián</t>
  </si>
  <si>
    <t>Julián Bayer</t>
  </si>
  <si>
    <t>…y no corre una gota de sangre. En Simiti sorprenden los rebeldes la guarnición; asesinan 24 soldados; vuelven sobre ellos las armas del Rey, y también se íes perdona. El teniente coronel D. Julián Bayer entra con su expedición en el rio Atrato ; encuentra un batallón de venezolanos fugados de Cartagena, los cua les estaban moribundos de necesidad; y aunque llevaba víveres limitados pa ra su cemision, y veia que repartiéndolos no podía llevarla á cabo, sin em…</t>
  </si>
  <si>
    <t>…e decidir oportunamente en las diferentes circunstancias que pueden presentarse. Estas tropas obrarán en combinación con los escuadrones de dragones que á las órdenes del teniente coronel Don Julián Bayer dejé en Chire ai pie de la cordillera con destino á recorrer los llanos de S. Martin y Cacanare, y vigilar las orillas del Meta, abriendo la comunicación con la tercera división á las órdenes del brigadier Samano, que se halla en el reino, y poniendo expedita…</t>
  </si>
  <si>
    <t>Bayon, Francisca</t>
  </si>
  <si>
    <t>Francisca Bayon</t>
  </si>
  <si>
    <t>Gaceta de Madrid n.º 45</t>
  </si>
  <si>
    <t>…ones á una de las huérfanas de los militares ó patriotas que hubieren muerto en defensa de la justa causa de la nación, ha cabido en suerte del primer extracto de la de este dia á Doña Francisca Bayon, hija del patriota D. Pedro, muerto en el campo del honor. ARTICULO DE OFICIO. En 18 de Marzo último se sirvió el Rey nuestro Señor dirigir al decano del Consejo el Real decreto siguiente: „ En atención al distinguido mérito , señalados servicios y relevantes…</t>
  </si>
  <si>
    <t>Bazan, Antonio Valdes y</t>
  </si>
  <si>
    <t>Antonio Valdes y Bazan</t>
  </si>
  <si>
    <t>Gaceta de Madrid n.º 30</t>
  </si>
  <si>
    <t>279</t>
  </si>
  <si>
    <t>…rzo de 1817. La Real junta económica de las encomiendas vacantes de la orden de S. Juan, á quien S. M. tiene encargado el pago de los acreedores que dejó el Sr. bailío difunto Fr. D. Antonio Valdes y Bazan con la supervivencia de 18 años de los frutos de la encomienda de Paradinas, que por Real or den de 7 de Abril ultimo se dignó concederle, ha resuelto que en el sábado 29 del corriente se celebre junta general de ellos para acordar lo convenien te sobre la le…</t>
  </si>
  <si>
    <t>Be</t>
  </si>
  <si>
    <t>…jui cio que haya lugar. Habiéndose suspendido la junta que había de celebrarse en 14 del corriente en tre los acreedores é interesados al concurso necesario de los bienes que dejó D. Be nito Diez del Valle, se ha señalado nuevamente para ella el dia 28 de este mes á las ocho en la posada del Sr. D. Joaquín Almazan, del Consejo de S. M., teniente corregidor de esta villa. Del origen de las leyes, artes, ciencias, y sus progresos en los pueblo…</t>
  </si>
  <si>
    <t>…ornada, y que saliese en la tarde del misino día para esa villa. A mi salida puse una guerrilla á las órdenes del teniente D. Juan María del Valle, á quien acompañó mi ayudante el teniente D. Be nito Aguirre, y á su llegada al pueblo logró encontrar la guerrilla de Iz quierdo que allí entraba, mandada por el coronel Ramón Llamas; mató á este y á 5 de sus compañeros , é hizo 4 prisioneros, los que averiguada su con ducta , los dejé libres,á excepción…</t>
  </si>
  <si>
    <t>Beausset</t>
  </si>
  <si>
    <t>…alicias enviadas por S. S. el limosnero mayor de Francia monseñor Talleirand-Perigord y el antiguo arzobispo de Langres monseñor de la Luzerne, y hoy la ha reci bido igualmente el cardenal Beausset. La guardia de los roo suizos ha recibido orden de hacer á los cardena les cuando vayan á palacio los mismos honores militares que á los marisca les de Francia. Hoy ha llegado á esta capital lord Holland, par de la Gran-Bretaña, y uno de los gefes mas disting…</t>
  </si>
  <si>
    <t>Becerra, Manuel Josef</t>
  </si>
  <si>
    <t>Manuel Josef Becerra</t>
  </si>
  <si>
    <t>…ría , y el de la infantería que tuve el honor de mandar. ,,Dios guarde á vmd. muchos años. Huejocinco Mayo 31 de 1816. = Fran cisco CiuHar.z=.Sr. comandante de armas de Huejocinco teniente D. Manuel Josef Becerra.” Madrid 24 de Enero. Conociendo nuestro muy amado Soberano que la vigilancia y la sorpresa</t>
  </si>
  <si>
    <t>Bedoya, Josef</t>
  </si>
  <si>
    <t>Josef Bedoya</t>
  </si>
  <si>
    <t>…gefe coronel D. Manuel Villavicencio y teniente coronel D. León Ortega se distinguieron por su extraordina ria actividad en comunicar las órdenes, hallándose ambos desmontados. El capitán D. Josef Bedoya, ayudante del brigadier Canterac, corrió varias veces á las cabezas de las columnas animando con su egemplo á cuantos presencia ron su arrojo bajo el fuego de los enemigos. A las acertadas disposiciones, bi zarría y serenidad del coronel D. Juan. Francisco Me…</t>
  </si>
  <si>
    <t>Bejarano, Francisco</t>
  </si>
  <si>
    <t>Francisco Bejarano</t>
  </si>
  <si>
    <t>…de Orea, calle de la Montera. Sentimientos patrióticos, ó conversaciones cristianas que un cura de aldea, ver dadero amigo del país, inspira á sus feligreses: escritas por el Lie. D. Francisco Bejarano: dos tomos en 8.°, impresos en 1791. Véndese á 2 rs. el juego en papel en el almacén de la imprenta Real. Memorables sucesos del dia Dos de Mayo de 1808 en Madrid, con todos los demas acontecimientos ocurridos en el Real sitio de Aranjuez , y la proclamación…</t>
  </si>
  <si>
    <t>Bellair</t>
  </si>
  <si>
    <t>…te años y medio; baila, canta, y responde con discreción á las preguntas que la hacen. Se dice que la marquesa de Lavalette, presa hace algún tiempo, va á ser conducida á León. El general Bellair, que fue arrestado al mismo tiempo que la marquesa , está ya en libertad. El diario de Hamburgo de 12 del corriente trae una providencia notable del gobierno de Hesse. Un rico comerciante de trigo de Worms, que' tenia encerradas en sus graneros mas de 6© fane…</t>
  </si>
  <si>
    <t>Bellegarde</t>
  </si>
  <si>
    <t>…efecto, después de haber formado su plan, lo pusieron en egecucion en la noche del 607 del presente de la manera siguiente: La sublevación comenzó por ei corsario la Criolla , su capitán Bellegarde, cuya tripulación ascendía á unos 70 negros, quienes habían principiado por amarrar á toda la oficialidad: que este alboroto fue sentido por el capi tán y tripulación del falucho , cuyo capitán tomó la bocina, y preguntó ai de la Belona ¿ si habia observado e…</t>
  </si>
  <si>
    <t>Belloso, Antonio</t>
  </si>
  <si>
    <t>Antonio Belloso</t>
  </si>
  <si>
    <t>541</t>
  </si>
  <si>
    <t>…cía en el Real jardín Botánico de Madrid; añadiendo que no habia partido ningún grano, y que su venta ja, comparada con los antiguos, estaba en razón de uno á tres-----En carta de D. Antonio Belloso, cura párroco de Sieteiglesias, escrita en 7 de Febre ro á D. Josef Berdonces, prior de esta santa iglesia catedral, y secretario de la Real sociedad, se lee que de los ensayos hechos con este trillo resulta que trilla con un par tanto corno los antiguos con…</t>
  </si>
  <si>
    <t>Beltran, Luis</t>
  </si>
  <si>
    <t>Luis Beltran</t>
  </si>
  <si>
    <t>…itar de S. Hermenegildo, y de justicia en la orden de S. Juan; del marques de Sta. Coloma, mayordomo de semana de S. M. con destino ai cuarto del Sermo. Sr. Infante D. Cários; del Sr. D. Luis Beltran , consejero en el supremo de la Guerra; de D. Antonio Colomer de Prades, caballero de la Real distinguida orden de Cários ni, y de D. Juan Cardona, guardia de la Persona del Rey , á cumplimentar á S. M. por su verificado enlace con la Reina nuestra Señora Doñ…</t>
  </si>
  <si>
    <t>Beltran, Magdalena</t>
  </si>
  <si>
    <t>Magdalena Beltran</t>
  </si>
  <si>
    <t>…S. Carlos. En el mismo acto de la dis tribución cedieron la parte pecuniaria dd premio D. Jaime Manent y Don "Vicente Morera, y de las niñas Doñi María Vicenta Lorente y González, Doña Magdalena Beltran , Doña Jocefa Andrés y Serra, Doña Josefa Bur gués, Doña María Dominga Aparici, Doña Carmen Sala y Corones, Doña Magdalena Prat, Doña Vicenta Vidal, Doña Vicenta Carruana, Doña Isa bel María Morera, Doña Bernarda Palomares y Doña Antonia Chaubet. D espues de…</t>
  </si>
  <si>
    <t>Beltran, U. Antonio</t>
  </si>
  <si>
    <t>U. Antonio Beltran</t>
  </si>
  <si>
    <t>…cia de Extremadura) 25 de Agosto. El ay-umámiento de esta villa queriendo dar á sus vecinos un testimonio de su desvelo por la educación de la juventud, y de la aptitud y zeio del profesor U. Antonio Beltran, á quien la tiene encomendada, dispuso que este presentase á examen público sus discípulos, asi como lo habia hecho ya en 5 de Octubre del año próximo pasado con 60 de ellos, cuando solo ha cia un año qüé egercia 4a-enseñanza en esta villa. A este efecto, pre…</t>
  </si>
  <si>
    <t>Belvis, Valentín de</t>
  </si>
  <si>
    <t>Valentín de Belvis</t>
  </si>
  <si>
    <t>1094</t>
  </si>
  <si>
    <t>…e le nombró su ayudante de campo. En cuantas acciones dieron nuestras armas á las enemigas fue siempre modelo de valor: esta primera vir tud militar la poseía en tal grado, que el general D. Valentín de Belvis (hoy conde de Villariezo), que mandaba una de las divisiones de vanguardia, ha biendo resistido tres dias consecutivos de ataque en la batería de Capmany, dijo en una relación, en que proponía algunos oficiales para premio,que Villena habia llenado completame…</t>
  </si>
  <si>
    <t>Bencomo, Cristóbal</t>
  </si>
  <si>
    <t>Cristóbal Bencomo</t>
  </si>
  <si>
    <t>…duque de S. Fernando, presidente del Consejo de las Ordenes; al marques de Sotomayor, primer caballerizo de S. M.; D. Eusebio Bardaxí y Azara, embajador cerca del Rey de Cerdeña; D. Cristóbal Bencomo, confesor de S. M.; D. Juan Yanez Bahamonde, comisario general de Cruzada; Don Francisco Melgarejo, teniente general de ¡a Real armada, y capitán general del departamento del Ferrol, y al príncipe Barberini. Cruces de mímero ,. A D JosefVilIaluengayMarfil, mi…</t>
  </si>
  <si>
    <t>Benigsen</t>
  </si>
  <si>
    <t>…clarado formalmente que su corte no tenia motivo alguno de queja del divan, y que el movimiento de las tropas rusas no lleva ba otro objeto que una gran revista que debía pasar el general Benigsen. Ayer se recibió de Antigua la noticia de haber sido condenado como buena presa el buque llamado Hércules, que mandaba Brown, almirante de los rebeldes de Buenos-Ai res, por haber iníringido las leyes relativas á la hacienda pública. Se han cogido en este buq…</t>
  </si>
  <si>
    <t>Benito</t>
  </si>
  <si>
    <t>…ncisco Rodríguez, D. Josef Vicente Veiga, D. Joseí Abad y D. Gregorio Cancela. En trigonometría plana los mismos Martínez , Lourei ro, Galceran, Vicario, Arias, Pujadas, Cancela , D. Benito y D. Florencio Pereira, D. Josef Perez, D. Ignacio Palacios y D. Juan Pablo Rodríguez» En trigonometría esférica el mismo Rodríguez, Perez, Pujadas, Galceran, Loureiro, Palacios y D. Benito Pereira. En cosmografía el referido Perez, D. Juan Pablo Rodríguez, D. Domingo Valay, D. Fra…</t>
  </si>
  <si>
    <t>Benito, Manuel de Alvaro</t>
  </si>
  <si>
    <t>Manuel de Alvaro Benito</t>
  </si>
  <si>
    <t>…z, capi tán segundo de la misma. SS. MM. y AA. se dirigieron primeramente á la capilla del colegio , donde fueron recibidos por el canónigo de la santa iglesia catedral de Segovia D. Manuel de Alvaro Benito, teniente vicario castrense, el capellán segundo del colegio por ausencia del primero, y otros eclesiásti cos: hicieron oración SS. MM. y AA., y pasaron á la hermosa enfermería del establecimiento, restablecida como la capilla con todo el esmero y pro lijidad…</t>
  </si>
  <si>
    <t>Bennigsen</t>
  </si>
  <si>
    <t>…r rigor, previniendo á dicho ministro, en el caS&lt;il de que no accediese á ello aquel Gobierno, pidiese al momento sus pasaportes, y saliese de la Turquía. El general de caballería conde Bennigsen, á cuyas órdenes está el egército ruso que se halla de observacion eM las fronteras de Turquía, ha recibido órden, no solo de no disminuir este cuerpo, que debia separarse en parte, porque se creian como terminadas todas las diferencias con la Puerta, sino de…</t>
  </si>
  <si>
    <t>…abierta entre las dos potencias relativas al arreglo de los límites de la parte «inferior del Danubio. Todo cuanto contiene dicho artículo respecto al egér«cito de observación del general Bennigsen es enteramente falso. La Rusia «tiene un egército; pero no sabemos nada en punto á un egército de obser* « vacion , ni menos en cuanto á su fuerza y movimientos. Estos hechos son los «únicos verdaderos y ciertos. Los amigos de la tranquilidad general encon«tr…</t>
  </si>
  <si>
    <t>Benningsen</t>
  </si>
  <si>
    <t>912</t>
  </si>
  <si>
    <t>…a ban parte del cuerpo de ocupación en Francia han pasado el Oder con di rección al reino de Polonia. Estas tropas van á la Rusia meridional, y se in corporarán en el egército del general Benningsen. Según las mismas cartas el gran duque Constantino llegará á Varsovia en todo este mes de vuelta de su viage. SUIZA. Lausana 5 de Agosto. La exportación del ganado y de otros géneros del gran ducado de Badén para la Suiza se ha permitido nuevamente desde el d…</t>
  </si>
  <si>
    <t>Ber</t>
  </si>
  <si>
    <t>…tos qua penden en el Conse jo Real y escribanía de cámara del cargo de D. Valentín de Pinilla, sobre entrega de 68 vales Reales dinero que dejaron interinamente en poder de Gorvea D. Ber nardo Joaquín del Valle y D. Manuel de Ledesma, director y diputado que fueron de la Real compañía de ganaderos de las provincias de Soria y Burgos; se ha man dado citar y emplazar, como por la presente se cita y emplaza, á los que sean in teresados en el asu…</t>
  </si>
  <si>
    <t>…or Trugillo y Guadalupe al secretarlo de ayuntamiento de la misma villa, adviniendo debe ir franco de porte. Se desea saber de la existencia de D. Antonio Castro y Novoa , hijo de D. Ber nardo y Doña María Novoa, soldado que fue en la Real armada en la 5.a com pañía del 6° batallón, en el departamento de Cartagena, en donde fue licenciado por enfermo en 1796; y se suplica á quien tenga noticia de su paradero se sirva comunicarlo á D. Andrés G…</t>
  </si>
  <si>
    <t>Beranger, Francisco</t>
  </si>
  <si>
    <t>Francisco Beranger</t>
  </si>
  <si>
    <t>1221</t>
  </si>
  <si>
    <t>…e V. E. = PedroOrtiz de Zugasti.=:Excmo. Sr. Don Josef Pizarro.” El 16 del pasado entró en el puerto de Cádiz la fragata de guerra Sabi na al mando del brigadier de la Real armada D. Francisco Beranger, pro cedente de los puertos de Veracruz y la Havana, escoltando varios buques del comercio, y conduciendo á su bordo 3.214562 pesos en moneda me xicana ; 487! onzas de oro; 232 barras y tejos de plata; 11 cajones de la misma labrada, y 3 virgen; uno de piedra…</t>
  </si>
  <si>
    <t>…D. Juan Ruiz de Apodaca,” El Excmo. Sr. virey en vista de este parte ha dispuesto se den las debi das gracias en nombre del Rey nuestro Señor al señor brigadier de la Real armada D. Francisco Beranger, comandante de la división, igualmente que á los oficiales, tropa y marinería de ella; que se recomiende á S. M. el mérito de dicho gefe por ei acierto en el desempeño de esta expedición importante, y el de los oficiales, guardias-marinas y demas que particul…</t>
  </si>
  <si>
    <t>Beraza, Francisco Gabriel de</t>
  </si>
  <si>
    <t>Francisco Gabriel de Beraza</t>
  </si>
  <si>
    <t>1120 niente corregido? de esta heroica villa, y por la escribanía cfel número de D. Clau dio Sanz, se han formado autos á instancia de D. Francisco Gabriel de Beraza, ve cino del concejo de Güeñes, en las Encartaciones de Vizcaya, sobre reclamación de nueve vales Reales de 600 pesos, creación de i.° de Setiembre, señalados con los números 1394* *43l- *45*» *478, J498, 1499 &gt; *5 3 2 Y r538»y uno de 300 pesos de la misma cr…</t>
  </si>
  <si>
    <t>Berdion, Vicente</t>
  </si>
  <si>
    <t>Vicente Berdion</t>
  </si>
  <si>
    <t>…pe Crespo, D. Francisco Canillas, D. Pedro Miguel, D. Genaro Sal gado, D. Cándido de la Fuente , D. Josef García Vázquez , D. Aquilino Lu nar, D. Pedro Gómez, D. Celedonio Casado, D. Vicente Berdion , Don Joa quín Lumeras, D. Tomas Asensio, D. Mateo Rodriguez, D. Valentín Ga veta, D. Pedro Martin, D. Antonio Fernandez, D. Andrés Redondo, Don Federico Movilla, D. Bernardo Huelga, D. Esteban Blanco, D. Miguel Alonrso, D. Cesáreo Viguera, D. Miguel Chana, D…</t>
  </si>
  <si>
    <t>Berdonces, Josef</t>
  </si>
  <si>
    <t>Josef Berdonces</t>
  </si>
  <si>
    <t>…n grano, y que su venta ja, comparada con los antiguos, estaba en razón de uno á tres-----En carta de D. Antonio Belloso, cura párroco de Sieteiglesias, escrita en 7 de Febre ro á D. Josef Berdonces, prior de esta santa iglesia catedral, y secretario de la Real sociedad, se lee que de los ensayos hechos con este trillo resulta que trilla con un par tanto corno los antiguos con dos pares y medio, por lo que dice que ha encargado ya uno para sí___En otra c…</t>
  </si>
  <si>
    <t>…onarca, probando que según resulta de las disposiciones y Reales decretos de S. M., todas sus piadosas miras van dirigidas al alivio de sus pueblos y felicidad de sus vasallos. El secretario D. Josef Berdonces, dignidad de prior y canónigo de esta sama iglesia, resumió en un compendio lacónico y enér gico todas las actas del año social, haciendo ver que no habían sido infruc tuosos los trabajos del cuerpo patriótico, señalando entre otros muchos re sultados el de l…</t>
  </si>
  <si>
    <t>Beres</t>
  </si>
  <si>
    <t>…gecute en la parte que le toca. Palacio del Gobierno 31 de Mayo de 1817. = Rubricado por los seño res gobernadores del reino. Orden del día jo de Mayo dada por el mariscal general lord Beres ford. El limo, y Excmo. Sr. mariscal general marques de Campomayor no puede menos de manifestar á los oficiales y á las tropas de la guarnición de Lisboa su completa satisfacción y total aprobación que le mereció su conduc ta en la noche del domingo 25 del pr…</t>
  </si>
  <si>
    <t>Beresford</t>
  </si>
  <si>
    <t>562</t>
  </si>
  <si>
    <t>…que el comercio no se ha alterado nada, habiendo salido en con secuencia tres buques mercantes de Cantón después de la vuelta de la emba jada á aquella ciudad. Se dice que vendrá lord Beresford á Londres un dia de estos. La fiebre contagiosa que reina en Edimburgo tiene con mucho cuidado al vecindario de Londres. Han sido arrestados en esta ciudad hace pocos dias un grabador y un pin tor acusados de delito de alta traición. Los periódicos anglo-amer…</t>
  </si>
  <si>
    <t>…tragado una aldea cerca de Nicolosi. PORTUGAL. Lisboa 28 de Mayo. En la noche del 25 al 26 del corriente se hicieron en esta corte varias prisiones, á que asistió personalmente el mariscal Beresford. Las mas nota bles son las del general Gómez Freire y la del barón de Ebben, oficial ale mán , que estuvo al servicio de Portugal en la última guerra. Están igualmen te presos algunos oficiales militares. Las patrullas de infantería y caballería que rondaron…</t>
  </si>
  <si>
    <t>ó decreto y de una orden del día dada por el mariscal general de las tropas portuguesas lord Beresford sobre aquella ocurrencia ; á vista de cuyos docu mentos desaparecieron las conjeturas formadas al principio, y se vid clara mente que las prisiones verificadas fueron consecuencia del descubrimiento que se había hecho de un horrible atentado contra la autorid…</t>
  </si>
  <si>
    <t>Berinudez, Josef Marta</t>
  </si>
  <si>
    <t>Josef Marta Berinudez</t>
  </si>
  <si>
    <t>…mbre último tuvieron la honra de felicitar á S. M. í nombre de la villa de Vivero D. Josef Rafael Villapol, auditor de Guerra de marina de provincia y honorario de departamento, y D. Josef Marta Berinudez, alguacil mayor de millones de la misma villa, y oficial del Real cuerpo de infantería de Marina; de los cuales el primero dijo: ,,Señor: La M. N. M. L. y Realenga villa de Vivero, que en los remo tos siglos cifró su gloria en el amor al Soberano, y arrostran…</t>
  </si>
  <si>
    <t>Bermejo, Agustín</t>
  </si>
  <si>
    <t>Agustín Bermejo</t>
  </si>
  <si>
    <t>…stas honoríficas dis tinciones del saber y de la aplicación , colocándolas en el pecho de los si guientes beneméritos: D. Joaquín Cañedo, D. Bernardo García, D. Bernar do Cadenas, D. Agustín Bermejo, D. Tomas Perez, D. Blas Cadenas, Don Juan García, D. Manuel Ribera, D. Máximo y D. Joaquín Vargas, Don Felipe Crespo, D. Francisco Canillas, D. Pedro Miguel, D. Genaro Sal gado, D. Cándido de la Fuente , D. Josef García Vázquez , D. Aquilino Lu nar, D. Pedro…</t>
  </si>
  <si>
    <t>Bermejo, Antonio García</t>
  </si>
  <si>
    <t>Antonio García Bermejo</t>
  </si>
  <si>
    <t>…llar y Frontín, oficial de la secretaría del despacho de Hacienda de España. Honores del tribunal de la Rota de la Nunciatura A los Sres. D. Manuel Fernandez Varela, deán de Lugo; D. Antonio García Bermejo, capellán de honor de S. M.; D. Pablo Lorenzo Largo Carrasco , canónigo doctoral de la catedral de Cuenca ;, D. Esteban Rodrí guez Salas, canónigo de la catedral de Málaga; D. Josef de Urrutia y Egurvide Azula canónigo de la metropolitana de Valencia. Gages d…</t>
  </si>
  <si>
    <t>…del tribunal de la Rota de la Nunciatura apostólica á D. Gabriel Anacleto García Casarubios , abad de la Real colegiata de Alabanza, dignidad de la iglesia catedral de Falencia: á D. Antonio García Bermejo, capellán de honor de S. M. : á D. Josef Urrutia y Egurbide Azula, canónigo de la iglesia metrepolitana de Valencia: á D. Pablo Lorenzo Largo Carrasco, canónigo de la catedral d3</t>
  </si>
  <si>
    <t>…únebre de las víctimas de Madrid en el Dos de Mayo de 1808 , que á presencia de SS. MM. y A A. RR. dijo el dia 2 de Mayo de 1817 en la Real igle sia de S. Isidro de Madrid el Lie. D. Antonio García Bermejo, capellán de honor, predicador de S. M., y canónigo de la santa iglesia catedral de Segovia; dedicada al Rey nuestro Señor, é ilustrada con notas curiosas acerca de los principales suce sos de aquel dia memorable. Se hallará en Madrid en la librería de Brun,…</t>
  </si>
  <si>
    <t>Bermudez, Josef Cayetano Díaz y</t>
  </si>
  <si>
    <t>Josef Cayetano Díaz y Bermudez</t>
  </si>
  <si>
    <t>…onado señor juez, y por la escribanía del expresado Seco. Xa Ciudad de Dios del gran padre y doctor de la Iglesia S. Agustín, dividida en 22 libros, traducida del latín por el Dr. D. Josef Cayetano Díaz y Bermudez, é impresa en Jos años de 1793 a 97- consta de 12 tomos en 8.° prolongado. Se hallará á 132 rs. en papel, y por tomos sueltos á 11, en el almacén de la impren ta Real. EN LA IMPRENTA REAL.</t>
  </si>
  <si>
    <t>Bermudez, Juan Agustin Cean</t>
  </si>
  <si>
    <t>Juan Agustin Cean Bermudez</t>
  </si>
  <si>
    <t>…año de 1805 otros dos cuadernos de papel regular, también en tafilete, á 30 rs. cada uno. “Diccionario histórico de los mas ilustres profesores de las bellas artes en España, por D. Juan Agustin Cean Bermudez: seis tomos en 8.° rústica, á4S rs. cada juego: desde el tomo 2.a hasta el 6.° inclusive hay varios egemplares sueltos, que se venden á 8 rs. cada uno. “Red orden de S. M. sobre las pruebas y exa men de los profesores que solicitan el título de maestros arqui…</t>
  </si>
  <si>
    <t>Bermudez, Rafael</t>
  </si>
  <si>
    <t>Rafael Bermudez</t>
  </si>
  <si>
    <t>121</t>
  </si>
  <si>
    <t>…sco Zapata Bueno. Capellán D. Josef Sendia Calderón. Para el del Arzobispo en Salamanca. Rector D. R amon de Planella y Fivaller. Consiliario i.° D. Josef Jalotl y Jalón. Idem 2.0 D. Rafael Bermudez. Idem 3.0 D. Francisco Ribera y Maestre» Capellán D. Lorenzo Escolar.</t>
  </si>
  <si>
    <t>Bermudez, Tomas</t>
  </si>
  <si>
    <t>Tomas Bermudez</t>
  </si>
  <si>
    <t>…ra los enunciados destinos de médicos de aguas minerales son: en Castilla la Nueva D. Josef María Brull, residente en esta corte, y consultor de los Reales egércitos, para Trillo: D. Tomas Bermudez, existente en Madrid, para el Molar: D. Atanasio Herraiz, médico de la villa de Ga^cueña, en la Alcarria, para Alcantud : D. Josef Menchero, médico de número de los Reales egércitos, y de la fábrica de las espadas de la ciudad de Toledo , para Solan de Cabras…</t>
  </si>
  <si>
    <t>Bermudez, Zea</t>
  </si>
  <si>
    <t>Zea Bermudez</t>
  </si>
  <si>
    <t>…e propagó á otros edificios, y solo murie ron ocho personas. RUSIA. Petersburgo iS de Agosto. En la audiencia que dio el Emperador el 3 del corriente en el palacio de Peterhoff al caballero Zea Bermudez, ministro de España, tuvo este la hon ra de entregar en nombre de su Soberano los collares del Toíson de Oro á SS. AA. II. los grandes duques Constantino,Nicolás y Miguel. En el mismo dia el conde de Brusasco, encargado de Negocios de Cerdeña, tuvo el honor d…</t>
  </si>
  <si>
    <t>Bernabé</t>
  </si>
  <si>
    <t>…preguntas de doctrina cristiana, lectura y escritura, presentando ademas las labores de costura y bordados; y notando, con uná nime aprobación de los circunstantes, el presbítero D. Bernabé el despejo y agudeza de Angela Maestro y María Dolores del Horno, las premió con cuantos utensilios necesitaban para perfeccionarse en su educación. Per la tarde del mismo dia en la sala del ay untamiento é igual concurso dieron prue bas de su capacidad y tal…</t>
  </si>
  <si>
    <t>Bernal, Josef Antonio</t>
  </si>
  <si>
    <t>Josef Antonio Bernal</t>
  </si>
  <si>
    <t>1058</t>
  </si>
  <si>
    <t>…la flor de Lis, con que S. M. Cris tianísima se ha dignado honrarle por su acendrado amor á la augusta casa de los Borbones. Asimismo se ha servido S. M. conceder igual permiso á D. Josef Antonio Bernal para poder usar del mismo distintivo. El Rey nuestro Señor se ha servido admitir el donativo que le ha hecho para gastos de su Real casa Julián López, cochero tronquista de la Real caballeriza , de 7945 rs. vn. en varias boletas de sueldos atrasados; y ha man…</t>
  </si>
  <si>
    <t>Bernaldez, Fernando</t>
  </si>
  <si>
    <t>Fernando Bernaldez</t>
  </si>
  <si>
    <t>826</t>
  </si>
  <si>
    <t>…cienda qtte S. M. se ha dignado admitir y mandar se publiquen en la gaceta, D. Josef Callis, presbítero, canónigo de S. Félix y S. Narciso de Gero na, 300 rs. anuales por su vida: D. Fernando Bernaldez, canónigo de la magistral de Badajoz, 2040 rs. en créditos. Los vecinos de la ciudad de Antequera que resultan de la adjunta nota firmada por el subdelegado de Rentas de ella. Señores Meibilas y hermanos 3® rs.: Diego Morían 10: Doña María Guerrero 6: D. Dieg…</t>
  </si>
  <si>
    <t>Bernales, J. C. de</t>
  </si>
  <si>
    <t>J. C. de Bernales</t>
  </si>
  <si>
    <t>…Antonio Villa Fer nandez, exponiendo que en 24 de Julio de este ano libraron Jos señores Henrique, Francisco Broske y compañía, del comercio de Londres, á uno y medio, y orden de D. J. C. de Bernales. una letra primera de cambio por valor de 2690 pesos de 128 cu irtos, 5 reales, 7 cuartos á cargo de D, Matías Bazo, de esta vecindad, cu ya letra endosó Bernales á su Favor, y que presentada al dicho Matías la aceptó; pero que habiéndose traspapelado ó extra…</t>
  </si>
  <si>
    <t>Bernard, Renato</t>
  </si>
  <si>
    <t>Renato Bernard</t>
  </si>
  <si>
    <t>…n de la flor de Lis con que le ha agraciado S. M. Cristia nísima por su constante adhesión á la familia de los Borbones. En atención á los grandes méritos y servicios que ha hecho D. Renato Bernard, de nación francés, vecino y del comercio de Algeciras , se ha ser vido S. M. concederle la naturaleza de estos reinos. Movido el oficial quinto del cuerpo político de la Armada y de la dota ción del departamento de Cádiz D. Josef Trujillo de los mismos patri…</t>
  </si>
  <si>
    <t>Berrogaray, Miguel</t>
  </si>
  <si>
    <t>Miguel Berrogaray</t>
  </si>
  <si>
    <t>…miento que pasado el insi nuado término, sin mas citarles ni llamarles se procederá á lo que haya lugar en derecho. Se cita y emplaza para comunicarles asuntos del mayor ínteres á D. Miguel Berrogaray, D. Vicente Arca y D. Eusebio Gratuay, ó sus apoderados en esta corte, quienes al efecto, y de orden del Excmo. Sr. capítan general de esta provincia de Castilla la Nueva, se presentarán á cualquiera hora en la casa habitación del tenien te coronel graduado D…</t>
  </si>
  <si>
    <t>Berthel, Juan Bautista</t>
  </si>
  <si>
    <t>Juan Bautista Berthel</t>
  </si>
  <si>
    <t>…capitán agregado al regimiento de infantería de Lorena: la primera ayudantía de la de Lérida á D. Manuel Rey, teniente del mismo regimiento de Lorena: la segunda de la de Mahon al capitán D. Juan Bautista Berthel, ayudante tercero de la misma: la de la de Seu de Urgei al subteniente D. Antonio Martos, sargento primero del regimiento de infantería de América; y la capitanía de llaves de Valencia de Alcántara al subteniente D. Diego Octavio, sargento primero de la compa…</t>
  </si>
  <si>
    <t>Bertolossi</t>
  </si>
  <si>
    <t>…reducción considerable en nuestro egército, lo que proporcionará sin duda muchas ventajas á la hacienda pública. ITALIA. Ancona 2 (i de Marzo. Ha venido una falúa de Cerdeña,y su capitán Bertolossi dice que los beyes de Túnez y de Trípoli siguen en los mismos procedimientos con las potencias cristianas; que sus fuerzas están en el mismo estado que al tiempo de la ex pedición de lord Exmouth; que en cuanto al dey de Argel, ha restablecido en mucha parte…</t>
  </si>
  <si>
    <t>Bezanilla, Manuel</t>
  </si>
  <si>
    <t>Manuel Bezanilla</t>
  </si>
  <si>
    <t>1424</t>
  </si>
  <si>
    <t>…spaña, SALVATIERRA. El teniente coronel y comandante D. Antonio Larragoiti en oficio diri gido al Excmo. Sr. virey, con fecha de 2 de Marzo, remite el siguiente parte del teniente coronel D. Manuel Bezanilla. „Por los informes que anticipadamente di á vmd. relativos á la buena disposición observada en los habitantes de este pueblo hacia la justa causa, se sitvio vmd. mandar me situara en él y tratara de su organización, lo que verifiqué el 11 del presente, desde…</t>
  </si>
  <si>
    <t>Bi, Fausto de Fo</t>
  </si>
  <si>
    <t>Fausto de Fo Bi</t>
  </si>
  <si>
    <t>…....... 1,599.. ca.. Idem., Atanasio García, ve Ninguno................. 3J9- 39“ cino de Salamanca. Antonio Requejo, 233. 4Í9vecino de la misma.. 7.a Idem., D. Vicente Barbería,. D. Fausto de Fo Bi juan Pedro Da-, ronda............. 200,703.. 34- ' guerre ,, Arana idé,, Gainza y compañía de Pamplona &amp;c.&amp;c.. Totales..................... 2.0541493 fs.. Ji es., i Lo que dé; orden de SlHl.se publica» para- jobierho de los interesados, quienes y p&lt;jr cons •…</t>
  </si>
  <si>
    <t>Biec, Juan María</t>
  </si>
  <si>
    <t>Juan María Biec</t>
  </si>
  <si>
    <t>…rtad y seguridad al egercicio de las industrias”: sobre que se egercitó D. Pedro Gudal. —,,Lo$ impuestos siempre afectan á los ma nantiales de la producción”: sobre lo que disertó D. Juan María Biec. Fue suma la complacencia que manifestaron tanto el director segundo co mo los socios y demas concurrentes al ver lo arreglado de Tos discursos de los alumnos, y como habían disertado con tanta exactitud en el lenguage y en las razones, que hacían ver el esme…</t>
  </si>
  <si>
    <t>…ontinuar con la misma aplicación y energía un es tudio tan útil, cuyo influjo ya conocían cuan grande era en todos los desti nos del hombre puesto en sociedad. A lo cual el alumno D. Juan María Biec, en nombre de todos los demas, contestó que no olvidarían el aprecio y bon dad con que se recibian sus débiles esfuerzos; y el catedrático,después de ha ber recibido de la sociedad las gracias debidas á su zelo infatigable, y de to do el concurso los aplausos…</t>
  </si>
  <si>
    <t>Bignami, Estéban</t>
  </si>
  <si>
    <t>Estéban Bignami</t>
  </si>
  <si>
    <t>…noticias de él; solicitando ademas que no compareciendo el susodicho, se proceda á la declaración de su muerte. ,, Habiendo nombrado este tribunal curador del referido al abogado Don Estéban Bignami, vecino de Lody, se le notifica á dicho Anselmi este nom bramiento , y al mismo tiempo se le llama por este edicto para que compa rezca en este tribunal en el término de un año; en la inteligencia de que si no lo hiciere, ó no diere en otra forma á este tribu…</t>
  </si>
  <si>
    <t>Bignami, Esteban</t>
  </si>
  <si>
    <t>Esteban Bignami</t>
  </si>
  <si>
    <t>…noticias de él; solicitando ademas que no compareciendo el susodicho, se proceda á la d-eclaracion de su muerte. ,, Habiendo nombrado este tribunal curador del referido al abogado Don Esteban Bignami, vecino de Lody, se le notifica á dicho Anselmi este nom bramiento, y al mismo tiempo se le llama por este edicto para que compa rezca en este tribunal en el término de un año ; en la inteligencia de que si no lo hiciere, ó no diere en otra forma á este tribu…</t>
  </si>
  <si>
    <t>…noticias de él; solicitando ademas que no compareciendo él susodicho, se proceda á la declaración de su muerte. ,, Habiendo nombrado este tribunal curador del referido al abogado Don Estéban Bignami, vecino de Lody, se le notifica á dicho Anselmi este nom bramiento , y al mismo tiempo se le llama por este edicto para que compa rezca en este tribunal en el término de un año; en la inteligencia de que si no lo hiciere, 6 no diere en otra forma á este tribu…</t>
  </si>
  <si>
    <t>Binning</t>
  </si>
  <si>
    <t>…no cimientos, por su integridad, y por su franqueza y noble modo de pensar. Entre ellos hay siete empleados, que son los siguientes: lord Castlereagh , el canciller del Echiquier, lord Binning, Mr. Peel, Mr. Huskisson, Mr. Ticrney y el caballero J. Newport. Los demas son Mr- Baukes, Mr. Frankland Lewis, Mr. Hut Davis, Mr. Tramayne , Mr. Harford., Mr. Cartwight, Mr. Catvest y otros.</t>
  </si>
  <si>
    <t>Bitrian, Minucia</t>
  </si>
  <si>
    <t>Minucia Bitrian</t>
  </si>
  <si>
    <t>…ia y comisiones de la misma, se cita, llama y emplaza por el término de 15 días, contados desde su publicación, á todos los acreedores á los bienes quedados por la fin y muerte de Doña Minucia Bitrian, vecina que fue de esta villa, y viuda de D. Valentín Ramón de Ariñiz, que se hallan vendidos,</t>
  </si>
  <si>
    <t>Biylle, Pedro</t>
  </si>
  <si>
    <t>Pedro Biylle</t>
  </si>
  <si>
    <t>…ercibimiento de que pasado el término sin haberlo hecho en dicha audiencia y escribanía, les parará el perjuicio que haya lugar. Se cita y emplaza á los acreedores á la quiebra de D. Pedro Biylle y compañía, para que concurran á la junta que ha de celebrarse entre los mismos ante el Sr. Don Joaquín Almazan, del Consejo de S. M., teniente corregidor de esta muy heroica villa , el dia 23 del corriente á las nueve en una de las salas de su Excmo. ayun ta…</t>
  </si>
  <si>
    <t>Blake, Joaquín</t>
  </si>
  <si>
    <t>Joaquín Blake</t>
  </si>
  <si>
    <t>6</t>
  </si>
  <si>
    <t>…l preciso término de un mes, contado desde el dia de su publicación , bajo su firma , y en los tér minos que señala la enunciada circular , dirigiendo sus exposiciones al capi tán general D. Joaquín Blake, presidente de la junta de nuevas condecora ciones militares. La justa Opinión y notorio crédito de las Reales loterías de España , ad quirido por la exacta escrupulosidad y buena fe con que distinguen sus ope raciones , y consolidado por la pronta é inviolab…</t>
  </si>
  <si>
    <t>…n en el preciso término de un mes contado desde el día de esta publicación, bajo su firma y en los términos prescritos en aquella circular, dirigiendo sus expo siciones al capitán general D. Joaquín Blake, presidente de la junta de nue vas condecoraciones militares. El teniente general D. Nicolás Mahy, como comandante general que fue del egército de la izquierda , ha recurrido á S. M. solicitando una cruz de dis tinción para las valientes tropas que asistieron…</t>
  </si>
  <si>
    <t>Blake, Joaquin</t>
  </si>
  <si>
    <t>Joaquin Blake</t>
  </si>
  <si>
    <t>…en el preciso tér mino de un mes, contado desde el dia de su publicación , bajo su firma, y en los términos prescritos en aquella circular, dirigiendo sus exposiciones al capitán general D. Joaquin Blake, presidente de la junta de nuevas conde coraciones militares. El Rey nuestro Señor se ha servido conceder su Real permiso á D. Luis María Mosquera para que pueda usar la cruz de la ñor de Lis con que le ha condecorado S. M. Cristianísima. Para mediados de Abr…</t>
  </si>
  <si>
    <t>Blamont, Josef Benito de Kassel</t>
  </si>
  <si>
    <t>Josef Benito de Kassel Blamont</t>
  </si>
  <si>
    <t>…iscal de campo de los egéfcitos de S. M. Ca tólica, y de Doña María de la Luz Espinosa deContreras, natural de la Havana, que habiendo fallecido en el reino de los Países-Bajos el barón Josef Benito de Kassel Blamont, son llamados á recoger su sucesión en parte; y que Mr. Josef de Suellinck , habitante de Brusélas, ha sido nombrado en el testamento para representarlos y administrar interinamente los bienes que les han cabido. Se convida por tanto á los interesados á prese…</t>
  </si>
  <si>
    <t>Blanco, Alejandro</t>
  </si>
  <si>
    <t>Alejandro Blanco</t>
  </si>
  <si>
    <t>…o de la Sra. Doña MARrA ISABEL DE BRAGANZA I RErNA de España, copiado del esculpido por D. Josef Gillés, primer escultor de cámara, dibujado por D. Antonio Guerrero, y grabado por D. Alejandro Blanco, dedicado al REY nuestro St!Ílor, y aprobado por la Real academia de S. Fernando, en cuartilla de marca mayor, á 8 rs. en negro y 16 i lumÍnado. Se hallará en el almacen de estampas, calle Mayor, frente á la casa del conde de Oñate, con los dos de igual tamaÍ…</t>
  </si>
  <si>
    <t>Blanco, Antonio Gaspar</t>
  </si>
  <si>
    <t>Antonio Gaspar Blanco</t>
  </si>
  <si>
    <t>…egunda de la plaza de Lérida á D. Josef María Faura, alférez del regimiento de caballería de Farnesio. En América. La subinspeccion general de las tropas del reino de Goatemala al brigadier D. Antonio Gaspar Blanco, subinspector de infantería del egército expedicionario; y el gobierno de S. Agustín de la Florida al tenien te coronel D. Josef Copinger, que lo desempeñaba interinamente. El Rey nuestro Señor se ha servido conceder al Br. D. Josef Martínez Loaisa, canónigo…</t>
  </si>
  <si>
    <t>Blanco, Esteban</t>
  </si>
  <si>
    <t>Esteban Blanco</t>
  </si>
  <si>
    <t>…on Joa quín Lumeras, D. Tomas Asensio, D. Mateo Rodriguez, D. Valentín Ga veta, D. Pedro Martin, D. Antonio Fernandez, D. Andrés Redondo, Don Federico Movilla, D. Bernardo Huelga, D. Esteban Blanco, D. Miguel Alonrso, D. Cesáreo Viguera, D. Miguel Chana, D. Antonio Castro, D. Toribio González, D. Santiago Alonso, D. Tomas Pardo, D. Ignacio Ojero, Don Fernando Movilla, D. Manuel Gómez, D. Francisco Rodriguez, D. Alvaro Chaves, D. Fernando García, D. Bern…</t>
  </si>
  <si>
    <t>Blanco, Francisco</t>
  </si>
  <si>
    <t>Francisco Blanco</t>
  </si>
  <si>
    <t>…ctor D. Diego de Parada, rector que fue de la Real universidad de Alcalá de He nares; el Dr. D. Julián Mateos de Ramiro, cura párroco de la de S. Pedro de esta ciudad, y los Dres. D. Francisco Blanco y D. Miguel Bovela, mé dicos titulares de la misma. Al examen público precedió otro particular de aquellos que se habían de presentar si público á merecer la aprobación en gramática y retórica. Por la mañana se dió principio por la traducción, aná lisis y explicación del artifi…</t>
  </si>
  <si>
    <t>Blanco, Francisco Xavier</t>
  </si>
  <si>
    <t>Francisco Xavier Blanco</t>
  </si>
  <si>
    <t>…que le toca. Dios guarde á V. muchosaños. Madrid 10 de Febrero de 1817. El Rey nuestro Señor se ha servido nombrar para la canongía vacante en la catedral de Segorve por muerte de D. Francisco Xavier Blanco al presbítero D. Cayetano Miguel Manchón , en premio de sus servicios du rante la invasión de la península; de su ardiente caridad con los pobres en fermos del contagio que sufrió Alicante en 1804, y de la lealtad y patriotis mo que acreditó en la lucha que s…</t>
  </si>
  <si>
    <t>Blanco, Josef Fernandez</t>
  </si>
  <si>
    <t>Josef Fernandez Blanco</t>
  </si>
  <si>
    <t>82</t>
  </si>
  <si>
    <t>…atria. Logrados tan sublimes objetos, era ya in dispensable poner manos á la obra abandonada , y la dirección del Crédito público, á cuya vista pasó el Gobierno varios escritos de D. Josef Fernandez Blanco, juez director de la Real acequia de Alcira, relativos á promover con riegos y otros arbitrios la felicidad de los pobres labradores, sobre cuyos hombros gravita el peso de la manutención del estado , formó el concepto de que este inteligente y zeloso patrici…</t>
  </si>
  <si>
    <t>Blanco, Nicolás</t>
  </si>
  <si>
    <t>Nicolás Blanco</t>
  </si>
  <si>
    <t>…interino de la orden, y al capitán de navio D. Alejandro Gu tiérrez de Ruvalcaba. Cruces de Caballeros A los Sres. D. Marcos Francisco Rivas, presbítero, domiciliado en Cara cas ; D. Nicolás Blanco; D. Miguel García Carrasquedo; D. Francisco Es cudero; D. Ildefonso Ruiz del Rio; D. Luis Gargollo; D. Josef López del Diestro ; D. Andrés Marzan; D. Juan Miguel de Lostra; D. Antonio Fajar do; D. Tomas Urrutia; D. Josef Xavier de Zuluaga y D. Josef de Veamur…</t>
  </si>
  <si>
    <t>Blazquez, Josef</t>
  </si>
  <si>
    <t>Josef Blazquez</t>
  </si>
  <si>
    <t>…Sto. Domingo pasó por la puerta de la pieza de disección del Real estudio de Medicia práctica, donde estaba su disector anatómico , cirujano de la Real Familia y de los hospitales D. Josef Blazquez, cooperando en lo posible á las grandes miras del Soberano , propuestas por el infatigable zelo de su digno director Don Ignacio Jáuregui, y los catedráticos D. Hilario Torres y D. Antonio Her nández , en educar á los alumnos de dicho Real establecimiento en…</t>
  </si>
  <si>
    <t>Bloonifield</t>
  </si>
  <si>
    <t>…con las demostraciones del mas afectuoso respeto; y S. A. I. por su parte hadado testimonios públicos de su consideración á In nación inglesa y á la augusta casa de Brunswick. El general Bloonifield, caballe rizo mayor del Príncipe Regente, está encargado de enseñar á S. A. I. to dos los objetos dignos de la atención de los viageros. Los caballeros mas dis tinguidos han recibido en sus casas al gran duque con toda la magnificencia' posible. Las nuevas mi…</t>
  </si>
  <si>
    <t>Blucher</t>
  </si>
  <si>
    <t>…. Se ha publicado ya la orden que arregla la planta del mismo consejo , y contiene las atribuciones de cada sección de él y el nombre de los conse jeros. Entre estos se cuentan el príncipe Blucher, el conde Bulow , el prín cipe Wittgenstein, los secretarios de Estado, los primeros presidentes de las provincias, los comandantes generales &amp;c. &amp;c. ALEMANIA. Messe-Cassel i.° de Abril. El gran duque de Mecklemburgo acaba de salir de aquí con dirección á sus…</t>
  </si>
  <si>
    <t>…rá á lord Sommerset en el gobierno del cabo de Buena-Esperanza. Se dice que lord Granville-Leveson-Gower vendrá aquí como embajador de Inglaterra. BOHEMIA. Carlsbad j de Junio, El príncipe Blucher llegó aquí el 31 de Mayo, y habita interinamente en la casa que está prevenida para el Rey de Prusia, quien no vendrá hasta fines de este mes. Se espera que llegarán aquí el 10 del corriente el archiduque y la archi duquesa palatina. La Princesa viuda de Anha…</t>
  </si>
  <si>
    <t>Blucher, Príncipe</t>
  </si>
  <si>
    <t>Príncipe Blucher</t>
  </si>
  <si>
    <t>…. A. I. el gran duque Ni colás con mucha pompa. S. A. R. el Príncipe Augusto de Prusia ha ido á Dresde bajo el título de conde de Mansfeld. Esperan en los baños de Dobaran al feld-mariscal Príncipe Blucher. El Príncipe archicanciller de Estado marchó el 15 para Carlsbad. AUSTRIA. Viena ij de Julio. Ayer hizo convocar el Archiduque Ranerio un consejo extraordinario de Estado,en el cual parece que se trató de proponer y adoptar los medios con venientes para dismi…</t>
  </si>
  <si>
    <t>Bó, Josef</t>
  </si>
  <si>
    <t>Josef Bó</t>
  </si>
  <si>
    <t>8</t>
  </si>
  <si>
    <t>…librería de Martínez , frente á S. Felipe el Real; en Barcelona en la de Jordi; en Zuagoza en la de Monge ; en Cádiz en I9 imprenta del diario mercantil, y en Valencia en casa de D. Josef Bó, calle de la Tipinería. En las mismas se hallan de venta. EN LA IMPRENTA REAL.</t>
  </si>
  <si>
    <t>Bobadi, Ignacio</t>
  </si>
  <si>
    <t>Ignacio Bobadi</t>
  </si>
  <si>
    <t>…DE VERACRUZ. List A de los oficiales y cadetes que son acreedores jpor haberse distinguido á la superior recomendación de S. E. El teniente D. Josef María del Toro, el subteniente D. Ignacio Bobadi lla, idem D. Joaquin Arzamendi, Ídem D. Josef María Carmona, el ciru jano D. Miguel Añon, el cadete D. Francisco Rodríguez, idem D. Juan La gos, idem D. Lope Urriza, del regimiento fijo. El subteniente D. Juan Mo rilla, de la partida de España. El alférez D.…</t>
  </si>
  <si>
    <t>Bobadilla, Ignacio</t>
  </si>
  <si>
    <t>Ignacio Bobadilla</t>
  </si>
  <si>
    <t>43° Toro, á los subtenientes del mismo cuerpo D. Ignacio Bobadilla y D. Joa quín Arzamendi, ai cadete del mismo, que me servía de ayudante, D. Juan Lagos, al subteniente D. Juan Morilla, de ía partida de España, al alférez de húsares D. Joaquín Nuñez, al cadete de caballería ligera D. Bernardo Franco, que también hacia de mi ayudante…</t>
  </si>
  <si>
    <t>Bocos, Juan Rodríguez Orejón</t>
  </si>
  <si>
    <t>Juan Rodríguez Orejón Bocos</t>
  </si>
  <si>
    <t>…dias perentorios, contados desde 21 del corriente, concurran por sí ó por medio de procurador con poder bastante al co mandante de armas de la ciudad de Palencia, y escribanía de D. Juan Rodríguez Orejón Bocos, á manifestar su crédito; con apercibimiento de que el término pasa do se procederá á determinar la causa con arreglo á derecho, parándoles el perjui cio que haya lugar. En el lugar de Concejero del Real valle de Mena, obispado de Santander, se halla vacante…</t>
  </si>
  <si>
    <t>Bodoni</t>
  </si>
  <si>
    <t>…uelven problemas matemáticos, y dan razón de diversos fenómenos de la organización animal. En una de las noches pasadas leyeron la oración dominical en 132 idiomas ,impresa por el caballero Bodoni. La señora Amalia ha publicado una noticia muy curiosa en latín acer ca de Tito Livio, natural de Padua. Liorna 24 de “Diciembre. Corre en esta ciudad una memoria escrita á nombre de varios caballeros de Malta, en que solicitan obtener de S. A. I., nuestro So…</t>
  </si>
  <si>
    <t>Bodoy, Claudio</t>
  </si>
  <si>
    <t>Claudio Bodoy</t>
  </si>
  <si>
    <t>220</t>
  </si>
  <si>
    <t>…io. En el juzgado militar de la capitanía general de Castilla la Nueva se. hallan pen dientes los autos de testamentaría y concurso de acreedores del comisario ordenador honorario D. Claudio Bodoy ; y por providencia de i.° de este mes se ha acordado convocar á junta general de todos los expresados acreedores y herederos, señalando para ella el domingo 9 de Marzo próximo, á las ro de su mañana, en la audiencia del señor auditor de guerra,lo que se anun…</t>
  </si>
  <si>
    <t>Boix, Esteban</t>
  </si>
  <si>
    <t>Esteban Boix</t>
  </si>
  <si>
    <t>…herederas de Padrino. Estampa del patriarca S. Josef, dibujada y grabada del célebre cuadro de Ma nilo , que poseen los Exentos. Sres. marqueses de S. Adrián y Santiago 6cc., por D. Esteban Boix, en pliegode marca mayor, á 12 rs.rzOtra del mismo santo, pin tada por Murillo, y grabada por el mismo profesor, en medio pliego de marca ma yor, á 6 rs. Se hallarán con otras varias del mismo artista en el almacén de estam pas de la calle Mayor, frente á la…</t>
  </si>
  <si>
    <t>Bolaño, Juan Antonio</t>
  </si>
  <si>
    <t>Juan Antonio Bolaño</t>
  </si>
  <si>
    <t>…vido nombrar para la vara de alcalde mayor segundo de la ciudad de Zaragoza á D. Juan María de la Torre: para la de Tarragona á D. Manuel de Rada: para la de la villa de Enguera á D. Juan Antonio Bolaño; y para la de Cheite á D. Francisco Xavier Fernandez Trapiella. Por Real resolución, á consulta de la Cámara, se ha servido S. M. con ceder á D. Alonso Comieras Torres de Portugal y Espejo la gracia de títu lo de Castilla con la denominación de vizconde de Be…</t>
  </si>
  <si>
    <t>Boncio, Horacio</t>
  </si>
  <si>
    <t>Horacio Boncio</t>
  </si>
  <si>
    <t>…laración de la muerte de dicho su marido, que se cree haber acaeci do en la guerra de España. ,,E1 tribunal en egecueion de lo dispuesto por la ley ha nombrado cu rador al abogado D. Horacio Boncio, á fin de averiguar el paradero ú exis tencia del ausente; y por este público edicto, que tendrá lugar de llamamien to jurídico, se cita y emplaza al referido Francisco Samani, para que en eí término de un año se presente ante este tribunal, ó suministre á di…</t>
  </si>
  <si>
    <t>Bonilla, Pedro Rafael</t>
  </si>
  <si>
    <t>Pedro Rafael Bonilla</t>
  </si>
  <si>
    <t>…al discípulo que mejor tratase en una disertación en lengua castellana y destinada á un solo asunto la malignidad febril, la calentura puerperal, la hipocondría y la elefantiasis, D. Pedro Rafael Bonilla, D. Josef de Alonso Quintanilla , D. Manuel Rodríguez Lancha y D. Josef María Benito y Lentijo, que eran los que se hallaban en disposición de poder aspirar al premio, firmaron con efecto á este intento; y sin embargo de que todos han desempeñado el objeto qu…</t>
  </si>
  <si>
    <t>Borbon, Antonio de</t>
  </si>
  <si>
    <t>Antonio de Borbon</t>
  </si>
  <si>
    <t>…de su arzobispado. La consideración que tiene en la corte hace presumir que será atendido. La corte se ha vestido de luto por cuatro semanas á causa del fallecimien to del Sermo. Sr. D. Antonio de Borbon, Infante de España. ALEMANIA. Lubeck 5 de Jimio. Una carta particular de Stockolmo del 25 de Mayo ultimo da noti cias de Suecia, dignas de ser conocidas por lo que pueden contribuir á recti ficar las que se habían recibido hace ya tiempo de aquel reino; por l…</t>
  </si>
  <si>
    <t>Borbon, Lúdovici de</t>
  </si>
  <si>
    <t>Lúdovici de Borbon</t>
  </si>
  <si>
    <t>…as del catedrático principal. Ordo divinum ofíicitrn persolvendi, missasque celebrandi in tota archidioecesi Xoletana pro anno a nativítate Domini 1818 , jussu et approbatione Em. D. D. Lúdovici de Borbon, S. R. E. presbyteri cardinalis tituli S. Mariae de Scala, archiepiscopi Toletani, Hispaniarumque primatis dispositus. Se hallará con el directorio para el clero de la villa de Madrid en la casa del Nuevo Rezado, calle del León. Los cajoncttos de la almohadil…</t>
  </si>
  <si>
    <t>Borda, Josef María Cortés y</t>
  </si>
  <si>
    <t>Josef María Cortés y Borda</t>
  </si>
  <si>
    <t>351</t>
  </si>
  <si>
    <t>…rincipio de la acción, tuvo que rendirse á ia fuerza triple que asimismo la atacaba. El Rey nuestro Señor se ha servido conceder su Real permiso al coronel de sus Reales egércitos D. Josef María Cortés y Borda, vecino de la ciudad de Tudela, para que pueda usar de la condecoración de Lis de que le tiene hecha merced S. M. Cristianísima por su fidelidad y buena conducta. Habiendo concedido S. M. á la villa de Cantalapiedra, provincia de Sa lamanca, la grada de celeb…</t>
  </si>
  <si>
    <t>Borgia</t>
  </si>
  <si>
    <t>…uscritos de la biblioteca del Vaticano, le concedió (sin haberlo permitido á otro) que pudiera llevarse á su habitación, que era la que conservaba, y le habia fran queado el sab'o cardenal Borgia en el colegio romano, los que necesitase pa ra hacerlo con mas comodidad. Restablecida en Nápoles en 1804 la religión de la Compañía de Jesús, fue á fines del mismo para entrar de nuevo en ella; y apenas sabe su llegada el Rey D. Fernando iv le llama y confie…</t>
  </si>
  <si>
    <t>Borgia, Camilo de</t>
  </si>
  <si>
    <t>Camilo de Borgia</t>
  </si>
  <si>
    <t>1070</t>
  </si>
  <si>
    <t>…ñía del barón de Sturmes. Sesun la relación de Mr. Wehle la isla de Sta. Elena es la mas triste que se puede imaginar. PIAMONTE. Turin ig de Setiembre. Ha muerto en esta ciudad el conde Camilo de Borgia, célebre anticua rio, cuya viuda va á publicar una obra importante de su marido. Este había residido en Africa mucho tiempo, y con la protección del Bey de Túnez logró hacer varias excavaciones, levantar planos de 250 ciudades y villas medio arruinadas , y ad…</t>
  </si>
  <si>
    <t>Borsani</t>
  </si>
  <si>
    <t>…stina, mandada por el capitán Matías Borsani, que regresaba de España, encon'ró en el golfo de Juan un buque español perse guido por ©tro que tenia pabellón encarnado y azul.__ El capitán Borsani convoj'ó al buque español hasta la altura de la isla de Elba, y entró en Puerto-Ferrayo sin experimentar la menor pérdida. Se cree que el buque per seguidor es un pirata berberisco de nueva especie, pero tan temible como los argelinos. Escriben de Constantino…</t>
  </si>
  <si>
    <t>Borsani, Matías</t>
  </si>
  <si>
    <t>Matías Borsani</t>
  </si>
  <si>
    <t>…stria al Brasil, ha sido condecorado por el Emperador con la gran cruz de la orden de S. Estéban de Hungría. ITALIA. Ancona. 2 8 de Enero. La goleta Reina Cristina, mandada por el capitán Matías Borsani, que regresaba de España, encon'ró en el golfo de Juan un buque español perse guido por ©tro que tenia pabellón encarnado y azul.__ El capitán Borsani convoj'ó al buque español hasta la altura de la isla de Elba, y entró en Puerto-Ferrayo sin experimentar la…</t>
  </si>
  <si>
    <t>Bosico, Francisco</t>
  </si>
  <si>
    <t>Francisco Bosico</t>
  </si>
  <si>
    <t>3</t>
  </si>
  <si>
    <t>…ujan,tres españoles eu ropeos y dos americanos que tenían prisioneros. Concluye el general en gefe recomendando particularmente al teniente de navio D. Andrés Tosta, al de fragata D. Francisco Bosico, á los alfére ces de navio D, Juan Sollozo, D. Antonio Villalba y D. Rafael Díaz, y á los de fragata D. Juan Calvete y D. Félix Angosto, los cuales han manifes tado conocimientos, valor y atrevimiento en la toma de los fuertes. Igual mente hace mención honorí…</t>
  </si>
  <si>
    <t>Bosque, Car los Cobos y Josef</t>
  </si>
  <si>
    <t>Car los Cobos y Josef Bosque</t>
  </si>
  <si>
    <t>…cés; Tomas Buffon, deNofuquet, del corsario Alejandro. Joaquin Muro, de S. Luis Potosí, soldado pasado á los rebeldes. Prisioneros rescatados. D. Agustín Urdapilleta» de Veracruz; D. Car los Cobos y Josef Bosque, de Tuxpam, hechos prisioneros por un corsario. Josef Encarnación , Cipriano Pradilla, Venancio Alfaro, de Campeche, pri-</t>
  </si>
  <si>
    <t>Bossuet</t>
  </si>
  <si>
    <t>…e haber reci tado el tratado que les había cabido en suerte del catecismo de la doctrina cristiana, se extendieron á la puntual explicación de ellos, según el catecis mo del limo. Sr. Bossuet, como fue: Jesucristo en el desierto, el ayuno y luto de Nínive penitente, la reparación del género humano, la profesión del cristianismo, el misterio de la Santísima Trinidad, el de la Encarnación , con lo mas perteneciente á estos puntos tan delicados; ilus…</t>
  </si>
  <si>
    <t>Bota, María Felipa</t>
  </si>
  <si>
    <t>María Felipa Bota</t>
  </si>
  <si>
    <t>…nes á una de las huérfanas de los militares ó patriotas que hubieren muerto en defensa de la justa causa de la nación , ha cabido en suerte del primer extracto de la de este dia á Doña María Felipa Bota, hija de D. Antonio, oñeial que fue de Reales provisiones, muerto en el campo dei honor.</t>
  </si>
  <si>
    <t>Boucier</t>
  </si>
  <si>
    <t>ta en el budget ó presupuesto del ministerio de la Guerra , el teniente general conde Boucier, diputado del Meurtha , hizo un elegante discurso, del que se han extractado los pasages siguientes: ,,Señores: Todos estamos convenidos en que, según la situación actual de la Francia, la economía es una de nuestras principales obligaciones; pero también est…</t>
  </si>
  <si>
    <t>Bouteiou, Claudio</t>
  </si>
  <si>
    <t>Claudio Bouteiou</t>
  </si>
  <si>
    <t>…necesidad de su enseñanza, con que se dió principio á las lecciones públicas de agricultura y de botánica el 14 de Octubre de 1 8 16 en el salón del Real consulado de Alicante por D. Claudio Bouteiou, director y profesor de agricultura y botáni ca del estudio establecido con Real aprobación en esta ciudad, académico de las Reales academias Médica matritense, y de Ciencias y Artes de Barcelona, indivi duo de mérito de la Real sociedad de Madrid, y socio de…</t>
  </si>
  <si>
    <t>Boutelou, Claudio</t>
  </si>
  <si>
    <t>Claudio Boutelou</t>
  </si>
  <si>
    <t>…pel y letra. Se hallará en la librería de Bailo, calle de las Carretas, á 20 rs. en pasta. Tratado del injerto, en que se explica todo lo correspondiente al arte de injer tar, por D. Claudio Boutelou, director y profesor de agricultura y botánica del Real jardín de la ciudad de Alicante. En esta obra, que se divide en teórica y prác tica, se explica en la primera parte todas las máximas y documentos que conviene saber para que prevalezcan los injertos, y…</t>
  </si>
  <si>
    <t>Bovadilla, Antonio</t>
  </si>
  <si>
    <t>Antonio Bovadilla</t>
  </si>
  <si>
    <t>…según costumbre. Los preten dientes que quieran matricularse en la clase de alumnos internos ó externos se presentarán los que se hallen en esta corte ante el profesor de anatomía D. Antonio Bovadilla , director interino de estudios; en la inteligencia de que han de tener las circunstancias prescritas en la ordenanza de este Real esta blecimiento de ser de la edad de 18 años cumplidos sin pasar de 20, han de saber leer y escribir correctamente, y estar ins…</t>
  </si>
  <si>
    <t>Bra-, María Isabel de</t>
  </si>
  <si>
    <t>María Isabel de Bra-</t>
  </si>
  <si>
    <t>…ios de amor y adhesión á sus Reyes, une su complacencia con el júbilo universal de la nación, y felicita á V.M. por su venturoso matrimo nio con la Serma. Sra. Infanta de Portugal Doña María Isabel de Bra-</t>
  </si>
  <si>
    <t>Braam, Van</t>
  </si>
  <si>
    <t>Van Braam</t>
  </si>
  <si>
    <t>…conducir á Marsella la referida fragata estan va aquí de vuelta. No hay novedad en la salud pública de este reino. ITALIA. Roma 8 de Noviembre. La escuadra holandesa que manda el almirante Van Braam se halla ac tualmente en el puerto de Ñapóles. La noticia anunciada en algunos perió dicos de que dicha escuadra debía reunirse á la rusa, que salid el n de Oc tubre del puerto de Revel para reprimir las piraterías de los argelinos , no tiene el menor fundame…</t>
  </si>
  <si>
    <t>Bracho</t>
  </si>
  <si>
    <t>…o , Espinosa é Inclan tuvieron entre sí una fuerte disputa en el pueblo de S. Andrés Chalchicomuia, sobre admitir ó no el indulto que por una carta les ofrecieron los Teranes y el coronel Bracho, de cuyas re sultas hubo entre los cuatro diversos pareceres ; mas prevaleciendo el de Cou to, que fue el de ser inadmisible, determinaron saquear completamente todo aquel valle, para marcharse después á la Tierra Caliente con el objeto de reunirse á Victoria…</t>
  </si>
  <si>
    <t>Bracho, Andrés Velez</t>
  </si>
  <si>
    <t>Andrés Velez Bracho</t>
  </si>
  <si>
    <t>928</t>
  </si>
  <si>
    <t>…ñar de balde á los niños de la villa; pero podrá estipular algún ¡ntere3 con los forasteros que no sean pobres. Los pretendientes que esten aprobados diri girán sus pretensiones á D. Andrés Velez Bracho, secretario de la obra pia, en el término de dos meses, que cumplirán en 25 de Setiembre próximo. Los suscriptores á la obra titulada Agronomía, ó Diccionario manual del la brador, escrito en francés, y traducido al castellano por D. Pedro Charro de Lorenzana…</t>
  </si>
  <si>
    <t>Bracho, Rafael</t>
  </si>
  <si>
    <t>Rafael Bracho</t>
  </si>
  <si>
    <t>…para su superior conocimiento. ,, Dios guarde áV. E. muchosaños. Puebla Marzo 12 de i8i7.=ExceIentísimo Sr.=Ciriaco de Llano.erExemo. Sr. virey D. Juan Ruiz de Apodaca.” Parte del coronel D. Rafael Bracho. ,,Consecuente al oficio de V. S. del 20 dispuse que el sargento mayor D. Ignacio de la Villa marchase con una sección la madrugada del 26 con dirección á Ixtapan, adonde llegó-á las 9 de la mañana, logrando sorpren-</t>
  </si>
  <si>
    <t>Braeho, Rafael</t>
  </si>
  <si>
    <t>Rafael Braeho</t>
  </si>
  <si>
    <t>…Noticioso de que por las inmediaciones de Ixtapan vagaban algunas gavillas de los dispersos de Tehuacan hostilizando los pue blos de aquella comarca, previne entre otras cosas al coronel D. Rafael Braeho que dispusiera que una sección de la tropa de su mando saliese en perse cución de aquellas, y los escarmentase del modo posible, sin dar lugar á que se reuniesen y aumentasen sus fuerzas: en virtud y á consecuencia de dicha orden me remite dicho coronel el pa…</t>
  </si>
  <si>
    <t>Braganza, Isabel de</t>
  </si>
  <si>
    <t>Isabel de Braganza</t>
  </si>
  <si>
    <t>…sirve en este dia de mi débil voz para manifestar á V. R. M. la suma complacencia y gozo de aquellos habitantes por el feliz y augusto en lace de V. M. con la Serma. Sra. Infanta Doña Isabel de Braganza. „Esta ciudad, Señor, que tocó y vió tan de cerca en el siglo xv los he roicos esfuerzos de Fernando é Isabel, que debió á su valor y prudencia la libertad de sus moradores y el exterminio de quien por tantos siglos la opri mía, se gloría y da gracias al Supr…</t>
  </si>
  <si>
    <t>Braganza, María Francisca de</t>
  </si>
  <si>
    <t>María Francisca de Braganza</t>
  </si>
  <si>
    <t>…ñol, atándole á la perpetuidad con lazos tan firmes como indisolubles? No con otro objeto, Se renísimo Señor, que el de hacer presente á V. A. que su matrimonio con la Serma. Sra. Doña María Francisca de Braganza, y las esperanzas de sus frutos llenan de jubilo á Salamanca, que este gozo es igual á su constan cia , y que felicita ahora á V. A. con tales trasportes de contento, cuales fueron en otro tiempo los del dolor en que sumió á sus habitantes la cautivi dad de V…</t>
  </si>
  <si>
    <t>1246</t>
  </si>
  <si>
    <t>…a persona de V. A. contempla un Príncipe amado, y un protector decidido de las letras, me ha honrado mandándome felicitar á V. A. S. por su feiiz enlace con la Serma. Sra. Infanta Doña María Francisca de Braganza. Sírvase pues V. A. S. admitir los obsequios de un cuerpo, que 2® leguas distante de esta heroica villa, no ama á S. A. S. menos que los que tienen la felicidad de conocerle de cerca.” ARTICULO DE OFICIO. El Rey nuestro Señor se ha dignado admitir con agrado…</t>
  </si>
  <si>
    <t>Braganza, María Francisca de Asís de</t>
  </si>
  <si>
    <t>María Francisca de Asís de Braganza</t>
  </si>
  <si>
    <t>20</t>
  </si>
  <si>
    <t>…matrimonios recientemente contraídos del Rey nuestro Señor y Sermo. Sr. Infante D. Cárlos María con las au gustas Princesas de Portugal Doña María Isabel la Reina nuestra Señora y Doña María Francisca de Asís de Braganza; y acercándose el dia de S. Cárlos, que lo era de su digno hermano' mayor el Sermo. Sr. Infante D. Cárlos , celebró junta general de sus individuos para acordar las medidas que debían tomarse á fin de realizar tan digno objeto , aun existiendo la falta de fon…</t>
  </si>
  <si>
    <t>…cuarto del Sermo. Sr. Infante D. Cárlos, con igual motivo dijo el mismo lo que sigue : „ Sermo. Sr.: La universidad de Salamanca felicita á V. A. por su enlace con la Serma. Sra. Doña María Francisca de Asís de Braganza; y cuando contempla á V. A. el primer Gefe de las armas españolas, se lison jea que será el primer defensor y protector de las letras, tan íntimamente hermanadas con el arte de la guerra. Xenofonte, César y los generales mas famosos de todas las naciones mane…</t>
  </si>
  <si>
    <t>…a comisión, juntamente co,n su diputación, de felicitar á V. A. á nom bre de la fiel villa de Morella y su gobernación por el verificado enlace de V. A. con la Serma. Sra. Infanta Doña María Francisca de Asís de Braganza , y manifestar que dirigen aquellos naturales sus votos al Dios de los egércitos para que unión tan dichosa sea dilatadísima para la felicidad de la nación española.”</t>
  </si>
  <si>
    <t>Braganza, María Isabel de</t>
  </si>
  <si>
    <t>María Isabel de Braganza</t>
  </si>
  <si>
    <t>…hacia la augusta persona de V. M., despliega de nuevo estos leales y afectuosos sentimientos con motivo del venturoso enlace de V. M. con una Princesa cual la Reina nuestra Señora Doña María Isabel de Braganza; conjunto de raras y de inestimables virtudes, que á vuestra dia dema añaden un mayor esplendor, y entre vuestros pueblos derrama el mas dulce consuelo y satisfacción. Esre ran feliz acontecimiento formará para ellos una nueva época de prosperidades, que qued…</t>
  </si>
  <si>
    <t>…siempre se ha distinguido por su fidelidad, amor y respeto á sus legítimos Soberanos, tiene la honra de reli citar á V. M. por su efectuado matrimonio con la Reina nuestra Señora Doña María Isabel de Braganza. Los felices resultados que (a España toda se promete de esta dichosa unione llenaron de júbilo á la referida ciu dad , la que por nuestro medio ofrece á V. M. su mas respetuoso homenage: dígnese V. M. admitirlo, y las pruebas que tiene dadas de querer sacrif…</t>
  </si>
  <si>
    <t>…Agosto, se presenta en este á renovar sus constantes pruebas de amor y fidelidad, acom pañadas del mas verdadero júbilo y alegría por vuestro feliz matrimonio con la augusta Reina Doña María Isabel de Braganza, y el de la Serma, Sra. Infanta Doña María Francisca de Asís con vuestro amado Hermano» el Sermo. Sr. Infante D. Carlos, según lo acreditó en su humilde y respe tuosa carta de 28 de Setiembre próximo. „Este cuerpo literario reconoce, Señor, tan venturoso acae…</t>
  </si>
  <si>
    <t>Gaceta de Madrid n.º 22</t>
  </si>
  <si>
    <t>…r zos y sacrificios posibles para rebatirlos y castigarlos, llenos todos los veci nos de ella con su ayuntamiento del mayor gozo por el feliz enlace de V. M. con la augusta Señora Doña María Isabel de Braganza, nuestra amada Soberana, tiene la honra de hacer presente á V. M. su júbilo por medio de sus diputados, deseando que el cielo prolongue por muchos años el dichoso reinado de V. M. para bien de la monarquía, y para consuelo de todos sus vasallos.” En seguida t…</t>
  </si>
  <si>
    <t>Gaceta de Madrid n.º 29</t>
  </si>
  <si>
    <t>…la augusta casa de los Borbones, llena de la mas profunda veneración y respeto llega hoy por nuestras voces á felicitar á V. M, por su efectuado enlace con la Reina nuestra Señora Doña María Isabel de Braganza , tributando al cielo gracias, y á V. M. mil parabienes por haber realizado dicho enlace, en que cifran su mayor felicidad. „La ciudad de Barbastro ve con la mas satisfactoria complacencia el fruto de los inmensos sacrificios que de toda clase ha prestado par…</t>
  </si>
  <si>
    <t>…as, prisión y muer te de Luís xvr, Rey de Francia, dedicada al Rey nuestro Señor D. Fernando vii: un tomo en 8.°~Historia de la nueva Antígona, dedicada á la Reina nuestra Se ñora Doña María Isabel de Braganza: un tomo en 8.°rz Historia de Ja persecu ción de la Iglesia por Napoleón Bonaparte desde el año de 1796 hasta el de 1815 inclusive, con notas muy interesantes y poco conocidas: un tomo en 8.Historia cierta de la secta de los francmasones, su origen, doctrina…</t>
  </si>
  <si>
    <t>Braganza, María Isabel Francisca de</t>
  </si>
  <si>
    <t>María Isabel Francisca de Braganza</t>
  </si>
  <si>
    <t>…id 1 § de Enero. En el dia 22 de Diciembre tuvieron el honor de ser admitidos á besar la Real mano de S. M., y felicitarle por el matrimonio contraido con la Rei na nuestra Señora Doña María Isabel Francisca de Braganza, los co misionados de la universidad de Salamanca D. Nicolás María de Sierra, del Consejo Real, y el M. R. P. Fr. Vicente Cuadrado, teniente de vicario ge neral de la orden de ios Mínimos de S. Francisco de Paula, acompañados del Excmo. señor marques de Alcañ…</t>
  </si>
  <si>
    <t>285</t>
  </si>
  <si>
    <t>…undo respeto y veneración á los Reales pies de V. M., y lleno del mas constante amor felicita á vuestra au gusta Real Persona por su dichoso matrimonio con la Reina nuestra Señora Doña María Isabel Francisca de Braganza. ,, Montealegre, Señor , convertido en luto y desolación en los desgracia dos dias de las tres crueles invasiones de las huestes del tirano, que hirieron, fusilaron , arrastraron y degollaron á algunos de sus moradores, y saquearon á todos, dió un señalado te…</t>
  </si>
  <si>
    <t>tinguida comisión de felicitar á V. M. por su efectuado enlace con la Reina nuestra Señora Doña María Isabel Francisca de Braganza, cuya Real mano tuvo el honor de besar á su tránsito por Sevilla por medio de una dipu tación de su ayuntamiento, rindiéndole los mas tiernos homenages que ahora presenta á V. M. con el mas profundo respeto y amor á su Real Persona: dígnese V. M. admitirlos e…</t>
  </si>
  <si>
    <t>…Señor: Los sexmeros de Salvatierra, en nombre de los pueblos de su partido, tienen la distinguida comisión de felicitar á V. M. por su efectuado enlace con la Reina nuestra Señora Doña María Isabel Francisca de Braganza ; y estos mismos pueblos, que fieles imitadores de sus mayores, los leales y honrados castellanos, siguieron en un todo sus huellas en la pa sada lucha, en el dia ven compensados sus sacrificios, y colmados sus ar dientes votos con la halagüeña esperanza de u…</t>
  </si>
  <si>
    <t>Braganza, María Isade</t>
  </si>
  <si>
    <t>María Isade Braganza</t>
  </si>
  <si>
    <t>…stin guidos de la Concordia del Perú; el cual dijo: „ Señor: Comisionados por la villa del Pasage para felicitar á V. M. por su efectuado enlace con nuestra augusta Reina y Señora Doña María Isade Braganza, venimos á cumplir con un deber tan grato como hon roso, y á recordar á V. M. el amor y lealtad que en todas épocas y situa ciones han acreditado á sus Reyes los habitantes de aquel célebre puerto, quienes penetrados de la beneficencia que caracteriza á V. M.…</t>
  </si>
  <si>
    <t>Brancadoro</t>
  </si>
  <si>
    <t>…ría, los subprefectos de Bayona y de Mauleon, de acuerdo con Jos alcaldes de los pueblos españoles de la raya, han dispersado á unos, y otros han caido en manos de la justicia. El cardenal Brancadoro llegó anteayer á Paris. Este prelado, que ha te nido á su cargo varias nunciaturas, trae, según dicen, poderes para arreglar pronto los asuntos de la iglesia de Francia. Según las últimas noticias que se han recibido de la iMa de Sto. Domingo parece que ha mu…</t>
  </si>
  <si>
    <t>Bravo, María Antonia</t>
  </si>
  <si>
    <t>María Antonia Bravo</t>
  </si>
  <si>
    <t>…ones á una de las huérfanas de los militares ó patriotas que hubieren muerto en defensa de la justa causa de la nación, ha cabido en suerte del primer extracto de la de este dia á Doña María Antonia Bravo, hija de D. Josef, teniente de infan tería , muerto en el campo del honor. ARTICULO DE OFICIO. Circular de la Dirección general de Rentas. Con fecha de ayer ha comunicado á esta dirección el Excmo. Sr. secreta rio del despacho de Hacienda la Real orden que si…</t>
  </si>
  <si>
    <t>Brayer</t>
  </si>
  <si>
    <t>…os guardias de corps en Whitehalt por un destacamento del regimiento núm. 9.0 de lanceros. La novedad atrajo muchas gentes, que jamas habían visto montar la guardia con lanzas. El general Brayer, de quien se decía haber tomado partido en el egército revolucionario de Buenos-Aires, no ha salido de Nueva-Yorck , donde piensa permanecer con ánimo de no tomar parte alguna en la revolución de la América del Sur. Se ha equivocado el nombre de este general…</t>
  </si>
  <si>
    <t>Brenes</t>
  </si>
  <si>
    <t>…ente D. Mariano Lugo, y el de igual clase de mi cuerpo D. Juan Granados para Ciricicuaro, donde, aunque se hallaba Gon zález, no se logró cogerlo, y sí su sable y caballos, con el teniente Brenes, que al siguiente dia pasé por las armas en el arroyo de Luna, é hice colgar para escarmiento de los de su clase. „En este parage recibí la imagen de nuestra Señora de los Remedios de Zitacuaro, que con una escolta remitió el comandante de Acambsro D. Ra món…</t>
  </si>
  <si>
    <t>Breson, Mariano</t>
  </si>
  <si>
    <t>Mariano Breson</t>
  </si>
  <si>
    <t>…mada en los patios del Real alcázar hizo los honores de ordenanza, incorporándose en la Real comiti va para informar de todo á S. M. el brigadier gefe de escuela del departa mento D. Mariano Breson, director de estudios del establecimiento, y capi tán primero de la compañía , y el coronel del cuerpo D. Josef López, capi tán segundo de la misma. SS. MM. y AA. se dirigieron primeramente á la capilla del colegio , donde fueron recibidos por el canónigo de…</t>
  </si>
  <si>
    <t>Brete, Vicente</t>
  </si>
  <si>
    <t>Vicente Brete</t>
  </si>
  <si>
    <t>…ícase el premio D.Pedro Pacheco, Don Josef Iglesia , D. Josef Cala, D. Josef Adan, D. Manuel Huertas, D. Tosef Ro mero, D. Josef Villanueva, D. Francisco Capulino, D. Juan Romero, D. Vicente Brete, D. Nicolás Moreno, y entre estos muy en particular Don Josef Cotera, que entrando en esta academia á la edad de seis años sin cono cer el alfabeto, y contando al presente solos ocho, mereció en estas tareas un lugar distinguido. Por último, el arte de enseña…</t>
  </si>
  <si>
    <t>Bretón, Mariano Beaumont y</t>
  </si>
  <si>
    <t>Mariano Beaumont y Bretón</t>
  </si>
  <si>
    <t>…Ve ga de Valcarce á D. Josef Pía y Puig|: para la de Junquera de Ambia á Don Juan Francisco Bajo: para la de Estrernera á D. Antonio Madoiell y Cas tillo: para la de Monteagudo á D. Mariano Beaumont y Bretón: para la dé Mombeltran á D. Diego Cisneros Valencia: para la de Villanueva del Fres no á D. Lucas Vázquez Garcés: para la de Monremayor, en Castilla, á D. Josef Urbano Sancho; y para la de Bodonal á D. Josef de Acha. El Rey nuestro Señor se ha servido concede…</t>
  </si>
  <si>
    <t>Brieva, Juan de Dios</t>
  </si>
  <si>
    <t>Juan de Dios Brieva</t>
  </si>
  <si>
    <t>…sus dueños se venden dos escribanías numerarias de la ciudad de Toledo, libres de toda carga. Para tratar de ajuste se acudirá en esta corte al procu rador de Jos Reales Consejos D. Juan de Dios Brieva, que vive cava de S. Miguel, esquina á la calle Mayor, cuarto principal, y en Toledo al procurador de aquel número D. Juan Leandro Paniagua, que están comisionados para ello. Se halla vacante la plaza de cirujano de Ja villa de Valencia de Alcántara, en la pr…</t>
  </si>
  <si>
    <t>Brigadier</t>
  </si>
  <si>
    <t>…os que son consiguientes á la campaña y al inaccesible terreno en que han hecho la guerra. Dios guarde á V. S. muchos años. Charcas Marzo 8 de 1817.= Josef Cristóbal Viilaseñor. = Sr. Brigadier D. Ignacio García Rebollo.” 4.0 ,, Excmo. Sr.: Incluyo áV.E. para su superior conocimiento el ad junto parte original, que con los documentos que le acompañan me ha diri gido el comandante militar de Cadereita teniente coronel D. Manuel de la Llata Saenz. ,, Dios guarde á V. E. muchos…</t>
  </si>
  <si>
    <t>Brion</t>
  </si>
  <si>
    <t>…rado en estado de blo queo todo el golfo de México hasta Puerto-Cabello, y había establecido un consejo de almirantazgo en la Margarita; que tenia á sus órdenes, bajo el mando del almirante Brion, unos 15 cruceros, la mayor parte goletas de Bal timore, y una de ellas de 16 cañones, con que cometen mil maldades, no solo contra los buques españoles, sino también contra los dinamarqueses, y que sus comandantes no tienen el menor miramiento á su pais, y s…</t>
  </si>
  <si>
    <t>1-40 cf Las noticias que publicamos boy, relativas í los progresos de los Insur gentes , confirman las observaciones que preceden. El almirante Brion en su parte refiere las operaciones egecutadas en el Orinoco en Julio último, y, como todas las relacio es de los insurgentes, se hace increible por su to no hiperbólico y fanfarrón. Por egemplo, se lisonjea de una victoria, en que cinco lanchas cañoneras ins…</t>
  </si>
  <si>
    <t>Briones, Lucía</t>
  </si>
  <si>
    <t>Lucía Briones</t>
  </si>
  <si>
    <t>…ia de varias posesiones y tierras, sitas en la villa y término de Mejorada del Campo: y por cuanto en dichos autos son interesados los hijos y herederos de D. Victoriano Gu erra y Doña Lucía Briones, difuntos, vecinos que fueron de la enunciada villa, se les cita, llama y em plaza por el término de 20 dias, según lo decretado por dicha superioridad , para que dentro de ellos acudan á usar de su derecho en la referida Real junta por la es cribanía de cáma…</t>
  </si>
  <si>
    <t>Brito</t>
  </si>
  <si>
    <t>852</t>
  </si>
  <si>
    <t>…, han sido arrestados en Rúan, y han declarado que habian negocia* do Una gran cantidad de ellos en París, Caen, el Havra y en Cherburgo. El 22 presentó al Rey sus credenciales el caballero Brito, enviado ex traordinario y ministro plenipotenciario de S. M. Fidelísima, en ausencia del marques de Marialva, embajador de Portugal. Las ultimas cartas de Suiza dicen que los ríos empiezan á menguar. La pintura de los daños que han causado las últimas inunda…</t>
  </si>
  <si>
    <t>Briton</t>
  </si>
  <si>
    <t>1407</t>
  </si>
  <si>
    <t>…da le permitieron volver á su embarcación. Te nia esta escuadra apresados tres ó cuatro barcos suecos ó portugueses. Los oficiales argelinos se condujeron con mucha insolencia. El capitán Briton , comandante de la Isabel Hill, que llegó ayer de Smirma y de Gibraltar en 10 días, dice que había hablado á la vista dd cabo de Gata con el capitán de un buque llamado la María, que iba de Túnez á Barcelona, y le había dicho que el Dey de Argel había sido ar…</t>
  </si>
  <si>
    <t>Brizuela, Juan Antonio</t>
  </si>
  <si>
    <t>Juan Antonio Brizuela</t>
  </si>
  <si>
    <t>…i no Negrete , comandante general de la primera división. ,, Lo aviso al publico para su satisfacción. Guadalajara 15 de Diciembre de 1816. = Josef de la Cruz.” 4.0 Excmo. Sr.: El capitán D. Juan Antonio Brizuela, comandante mi litar de la villa de Zamora, me dice con fecha de 9 del corriente, á las nue ve de la mañanado que sigue: ,,Excmo. Sr.: Ahora mismo acabo de recibir una carta del capitán Don Josef Antonio Rojas , que original acompaño á V. E. para su debido su…</t>
  </si>
  <si>
    <t>…iba presentando el mas favorable y ventajoso aspecto; y en prueba de lo que va referido sobre Tan guancicuaro acompaña el mismo gefe un parte del comandante de la villa de Zamora D. Juan Antonio Brizuela , que á la letra es como sigue: ,,Excmo. Sr. general: A las 12 de la noche del dia i.° del corriente en vié una partida á las órdenes del capitán D. Antonio García Rojas á las in mediaciones del pueblo de Tanguancicuaro con el objeto de estorbar que en la mis…</t>
  </si>
  <si>
    <t>Broglio</t>
  </si>
  <si>
    <t>…-UNIDOS. Brusélas ig de Setiembre. El dia 9 del corriente la gendarmería, acompañada de un dependiente de policía, fue á la quinta de Ghiseghem, cerca de Alorst, á buscar al limo. Sr. Broglio, obispo de Gante, que se suponía estar oculto en ella; pero fue inútil Ja diligencia, pues hace seis meses que este prelado se retiró á Francia, como se ha anunciado en varios periódicos. El mismo dia 9 á las seis de la tarde entró el Rey de Prusia en Aquisgr…</t>
  </si>
  <si>
    <t>Broivn</t>
  </si>
  <si>
    <t>442</t>
  </si>
  <si>
    <t>…os que hubiese en ellos: en consecuencia seis buques que se halla ban en Jacquemel quedaron sin ningún marinero. Están arrestados todos hasta que llegue un buque grande llamado el general Broivn. Se dice que Petion va á acuñar una nueva moneda, cuyo duro valdrá 10 por 100 me nos que el de España. Idem 3. Está preparado en Deptford el buque Real Soberano para recibir al du que y á la duquesa de Orleans , y conducirlos á Calais con su comitiva. Se cree…</t>
  </si>
  <si>
    <t>Brown</t>
  </si>
  <si>
    <t>…sus lanchas para traer á bordo las mugeres, los muchachos y cuantos hombres cupiesen. El 12 volvieron con el mayor Macpherson y su muger,con la muger del capitán Macqueen, con el doctor Brown y su hija, con los tenientes Mackenzie y Maccrurnmen, y con otras muchas mugeres y niños; pero aun quedaron en la isla muchas personas, á quienes no se pudo recoger á causa del viento. Al otro dia , el ca pitán Weatherall dió la veía para Calcuta, adonde lleg…</t>
  </si>
  <si>
    <t>…mo confirma la noticia de la toma del fuerte importante de Hattras por Las armas inglesas. El Di:^ram se salvó á la cabeza de su caballería; pero la nuestra le seguía al mando del general Brown. FRANCIA. París 17 de Agosto. Ayer llegó aquí el conde de Ruppin á las seis y media de la tarde, y hoy ha visitado al Rey acompañado de tres ayudantes de campo y del em bajador de Prusia, en cuya casa se apeó. El ilustre viageTo estuvo hablando con el Rey com…</t>
  </si>
  <si>
    <t>Bruget, Sebastian</t>
  </si>
  <si>
    <t>Sebastian Bruget</t>
  </si>
  <si>
    <t>…del regimiento de infantería de Vito ria: la de Alcántara á D. Ramón Sopeña, comandante del tercer batallón del regimiento de infantería de Lorena: la de Valencia de Alcántara al capitán D. Sebastian Bruget, teniente del regimiento de infantería de Extremadura; y la ayudantía del castillo de S. Antón de la Coruña á D. Francisco Anto nio López, subteniente agregado al estado mayor de dicha plaza. En atención al relevante mérito, largos y extraordinarios servicios…</t>
  </si>
  <si>
    <t>Brull, Josef María</t>
  </si>
  <si>
    <t>Josef María Brull</t>
  </si>
  <si>
    <t>…creto de 16 de Agosto del citado año anterior. Los profesores agraciados y nombrados por S. M. para los enunciados destinos de médicos de aguas minerales son: en Castilla la Nueva D. Josef María Brull, residente en esta corte, y consultor de los Reales egércitos, para Trillo: D. Tomas Bermudez, existente en Madrid, para el Molar: D. Atanasio Herraiz, médico de la villa de Ga^cueña, en la Alcarria, para Alcantud : D. Josef Menchero, médico de número de los…</t>
  </si>
  <si>
    <t>Bruneau, Antonio</t>
  </si>
  <si>
    <t>Antonio Bruneau</t>
  </si>
  <si>
    <t>…o de tierra acuda ante S. S., y por la escribanía ya citada, dentro del término de 30 dias, contados desde el 25 del pasado, en donde se admitirá la que hicieren siendo arreglada. D. Antonio Bruneau, socio de la casa de los Sres. Bruneau, Malebran y Prayre, de París; los Sres. Duboys, hijo y compañía, negociantes en Londres, y Claudio Cristóbal D’Court, de nación francés, dependiente que fue de la cocina del Prínci pe de Maserano por los años de 1788 á 9…</t>
  </si>
  <si>
    <t>Brúñete, Esteban Demetrio</t>
  </si>
  <si>
    <t>Esteban Demetrio Brúñete</t>
  </si>
  <si>
    <t>…ado como siempre nn buen egemplo á los demas pue blos y provincias de la nación. Habiendo sido promovido á director facultativo de las Reales fábricas de cristales de S. Ildefonso D. Esteban Demetrio Brúñete, profesor que era de química en la cátedra que hay en Zaragoza bajo la inmediata protección de la Real sociedad aragonesa , se hace saber ai público, de acuerdo de la misma, que los sugetos que intenten ocupar esta cátedra deberán presentarse dentro del térmi…</t>
  </si>
  <si>
    <t>Brunetti, Juan</t>
  </si>
  <si>
    <t>Juan Brunetti</t>
  </si>
  <si>
    <t>…te, copiado del célebre cuadro de Pompeo Batoni, venerado en Roma en la igle sia de S. Ignacio de Loyola : grabado á puntos al estilo de Bartolozzi en cuartilla de marca mayor por D. Juan Brunetti, á 5 rs. cada una, é igualmente otras muchas de este y otros diferentes tamaños de santos y santas, y estampitas para registros y re licarios. EN LA IMPRENTA REAL.</t>
  </si>
  <si>
    <t>Brunza, Xavier ZaroAntonio Blunza y Josef</t>
  </si>
  <si>
    <t>Xavier ZaroAntonio Blunza y Josef Brunza</t>
  </si>
  <si>
    <t>…tín Cartier. En la escritura de tercer orden obtuvo el primer premio Josef Vicondo y el segundo D. Galo Barbería, habiéndose acercado á merecerlos Lino Salcedo, Cosme Juan Torena, D. Xavier ZaroAntonio Blunza y Josef Brunza. En aritmética ganó el primer premio D. Mariano Lebrón y el segundo Celedonio Bayen; y fueron declarados meritorios Jorge Cartier y Martin Vidarte. En ortografía obtuvo el primer premio D. Próspero Barricarte y el segundo Pedro Luis Campano. En lectura mereci…</t>
  </si>
  <si>
    <t>Brusi, Antonio</t>
  </si>
  <si>
    <t>Antonio Brusi</t>
  </si>
  <si>
    <t>…provincias se halla de suscripción y venta en casa de los prin cipales libreros, pagándose un real mas por razón de portes. En Barcelona se ha trasladado la comisión á la casa de D. Antonio Brusi, donde deberán adelantar los suscriptores el importe de los tomos 5.0, 6° y sucesivos. El segundo trimestre de la suscripción á la Crónica científica y literaria conclu ye el último dia del presente mes de Setiembre. Los suscriptores que quieran conti nuar re…</t>
  </si>
  <si>
    <t>Bruta, Juan</t>
  </si>
  <si>
    <t>Juan Bruta</t>
  </si>
  <si>
    <t>…ido testimonio. Por decreto del Real tribunal del consulado de comercio de Cádiz, dictado ante su escribano mayor teniente D. Elias Izquierdo y Payan, en los autos de con curso de D. Juan Bruta, se cita y emplaza á cuantos se estimen con derecho á di cho concurso y masa, para que en el perentorio término de seis meses se presenten á deducirlo con los documentos que los comprueben; pues pasado dicho término se cancelarán las fianzas que esten dadas,…</t>
  </si>
  <si>
    <t>Bue, Antonio</t>
  </si>
  <si>
    <t>Antonio Bue</t>
  </si>
  <si>
    <t>…ano Martínez, D. Manuel Guerrero y D. Fran cisco Palacios trataron de todo lo concerniente á la sintaxis, en la que tam bién se acreditaron de aplicados, sobresaliendo entre todos D. Antonio Bue no , concluyendo ambos actos con su dia D. Eloy Pascual con una oración latina. El segundo dia abrió el acto D. Rafael Andreu Artigas, niño de cua tro años, con otra canción, al que siguieron D. Agustín Perez, D. Manuel Palacios y D. Bernabé García, que diero…</t>
  </si>
  <si>
    <t>Buendía, Josef Patricio</t>
  </si>
  <si>
    <t>Josef Patricio Buendía</t>
  </si>
  <si>
    <t>…uales manifestaron su aplicación y aprovechamiento: en seguida egercitaron todos los niños por el orden que se les tenia señalado, y bajo la dirección de sus respectivos maes tros D. Josef Patricio Buendía, D. Antonio Estrada Nora, D. Manuel Tri gueros y D. Bernardo Diaz Malo, en leer en prosa y en verso, en la calo grafía, en la aritmética especulativa y práctica, en la gramática y orto grafía castellana y en la historia sagrada; lo cual desempeñaron todos con…</t>
  </si>
  <si>
    <t>Bueno, Antonio</t>
  </si>
  <si>
    <t>Antonio Bueno</t>
  </si>
  <si>
    <t>…extensamente de todos los rudimentos, en lo cual, aunque acreditaron to dos su aplicación y adelantamiento, sin embargo sobresalió entre todos Don Josef Lajusticia. En la sintaxis D. Antonio Bueno, D. Felipe Grima, Don Mariano Laplana, D. Mariano Martínez, D. Manuel Guerrero y D. Fran cisco Palacios trataron de todo lo concerniente á la sintaxis, en la que tam bién se acreditaron de aplicados, sobresaliendo entre todos D. Antonio Bue no , concluyendo a…</t>
  </si>
  <si>
    <t>Bueno, Francisco Zapata</t>
  </si>
  <si>
    <t>Francisco Zapata Bueno</t>
  </si>
  <si>
    <t>…S. Bartolomé en Salamanca. Rector D. Ramón de Aguilar Fernandez de Córdoba. Consiliario T.° Don Anselmo de Isla Manrique. Idem 2° D. Ambrosio de Velasco y Oraoño Rosales. Idem 3.0 D. Francisco Zapata Bueno. Capellán D. Josef Sendia Calderón. Para el del Arzobispo en Salamanca. Rector D. R amon de Planella y Fivaller. Consiliario i.° D. Josef Jalotl y Jalón. Idem 2.0 D. Rafael Bermudez. Idem 3.0 D. Francisco Ribera y Maestre» Capellán D. Lorenzo Escolar.</t>
  </si>
  <si>
    <t>Bueno, Josef</t>
  </si>
  <si>
    <t>Josef Bueno</t>
  </si>
  <si>
    <t>…probablemente dicha escuadra bien distante de las costas de la península.” Lo que de Real orden se avisa al público. El Rey nuestro Señor se ha servido conceder su Real permiso á D. Josef Bueno, cura de Villarejo de Salvares, para usar de la condecoración de Ja Lis con que le ha agraciado S. M. Cristianísima por su constante adhesión á la augusta casa de los Borbones. El Rey nuestro Señor se ha servido conceder su Real permiso á D. An tonio de Mota…</t>
  </si>
  <si>
    <t>Bufalá, Ignacio</t>
  </si>
  <si>
    <t>Ignacio Bufalá</t>
  </si>
  <si>
    <t>1064</t>
  </si>
  <si>
    <t>…ad de Lé rida, el Sr. D. Tadeo Soler, ministro honorario del Consejo Real, y alcalde decano de la Real casa y corte; D. Francisco Fulgosio , teniente de Reales guardias Waionas, y D. Ignacio Bufalá, guardia de la Persona del Rey; el primero de los cuales dijo: ,,Señor: La muy noble ciudad de Lérida nos ha distinguido con la grata confianza de felicitar á V. M. por el dichoso alumbramiento de la Reina nuestra Señora. En representación de aquellos heroico…</t>
  </si>
  <si>
    <t>Bulbena, Bartolomé Suñol y</t>
  </si>
  <si>
    <t>Bartolomé Suñol y Bulbena</t>
  </si>
  <si>
    <t>…ón. D. Josef Francisco Genarés: Para que el impuesto sea menos perjudicial debe ser lo mas moderado posible en cuanto á su cuota, y que alcance á to dos con igualdad proporcional. D. Bartolomé Suñol y Bulbena: Un estado como la España no puede prosperar sin la libertad de su comercio interior, y á él debe con preferencia dirigir sus capitales, si quiere caminar con pasos progresivos á su prosperidad. El honesto desembarazo con que estos jóvenes se condujeron , las…</t>
  </si>
  <si>
    <t>Bulow</t>
  </si>
  <si>
    <t>…la orden que arregla la planta del mismo consejo , y contiene las atribuciones de cada sección de él y el nombre de los conse jeros. Entre estos se cuentan el príncipe Blucher, el conde Bulow , el prín cipe Wittgenstein, los secretarios de Estado, los primeros presidentes de las provincias, los comandantes generales &amp;c. &amp;c. ALEMANIA. Messe-Cassel i.° de Abril. El gran duque de Mecklemburgo acaba de salir de aquí con dirección á sus estados. La Die…</t>
  </si>
  <si>
    <t>…a. Entre tanto los presidentes de las provincias deben consultar á los ricos propieta rios , tanto sobre el sistema de rentas propuesto por el consejo de Estado, como sobre el del ministro Bulow. Los presidentes informarán al Gobierno acerca de dichas consultas.__El resultado dependerá principalmente del voto de los grandes propietarios, es decir de los nobles, que según los nuevos planes del ministro y del consejo de Estado , pagarían mas contribuci…</t>
  </si>
  <si>
    <t>Bur, Josefa</t>
  </si>
  <si>
    <t>Josefa Bur</t>
  </si>
  <si>
    <t>…ron la parte pecuniaria dd premio D. Jaime Manent y Don "Vicente Morera, y de las niñas Doñi María Vicenta Lorente y González, Doña Magdalena Beltran , Doña Jocefa Andrés y Serra, Doña Josefa Bur gués, Doña María Dominga Aparici, Doña Carmen Sala y Corones, Doña Magdalena Prat, Doña Vicenta Vidal, Doña Vicenta Carruana, Doña Isa bel María Morera, Doña Bernarda Palomares y Doña Antonia Chaubet. D espues de esto, habiendo ocupado los premiados el lugar…</t>
  </si>
  <si>
    <t>Busel, Antonio Rújula y</t>
  </si>
  <si>
    <t>Antonio Rújula y Busel</t>
  </si>
  <si>
    <t>…referidos herederos existiesen se sirva mandar recogerlos puntualmente con ios papeles y documentos que presentó para la formación del referido despacho, en es ta corte en casa de D. Antonio Rújula y Busel, hijo del mencionado D. Juan Fé lix de Rújula, cronista y rey de armas de S. M. reinante , que vive calle de Ja Ru da, núm. 5, cuarto principal, quien lo entregará todo. El partido de médico titular de la villa de Yunclillos, Sagra de Toledo, tres leguas de e…</t>
  </si>
  <si>
    <t>Bustamante</t>
  </si>
  <si>
    <t>…nado concederles el indulto confórme al último bando de 30 de Enero anterior; y ha contestado al Sr. Concha, dándole gracias, y previniéndole las dé en su nombre al mayor Rafols y capitán Bustamante, á quienes por su actividad y manejo en esta expedición les ha conferido el grado de tenientes coroneles en su clase, mandando también que dé igual mente gracias al mhmo Osorno y sus dependientes por haberse acogido á la piedad del Rey nuestro Señor. Madrid 1…</t>
  </si>
  <si>
    <t>Bustamante, Anastasio</t>
  </si>
  <si>
    <t>Anastasio Bustamante</t>
  </si>
  <si>
    <t>…, lucían y Franco, que intentaron invadir de nue vo dicho territorio , se fugaron en completa dispersión por la constante per secución que con una división volante les ha hecho el capitán D. Anastasio Bustamante. Todas estas noticias fueron recibidas el dia 8 del presente, dedicado á la inmaculada Concepción de María Santísima, patrona de España y de sus Indias. Posteriormente, y en el dia de ayer, en que se celebró la milagrosa apa rición de nuestra Señora de Guadal…</t>
  </si>
  <si>
    <t>Bustamante, Antonio Ruiz</t>
  </si>
  <si>
    <t>Antonio Ruiz Bustamante</t>
  </si>
  <si>
    <t>…tud de uno y otro sexo, cuando se les sabe conducir por el ameno campo del pun donor y del premio. Para abrir el examen de estas alumnas se leyó un discurso por el socio de número D. Antonio Ruiz Bustamante, sobre la importancia de la educa ción del espíritu en las mugeres, y conveniencia de varios rudimentos á to das las clases. Se presentaron á continuación 14 alumnas de la escuela gratui ta de S. Fernando en Triana, las cuales, ademas del examen respectivo, s…</t>
  </si>
  <si>
    <t>Bustamante, Felipe Suafez</t>
  </si>
  <si>
    <t>Felipe Suafez Bustamante</t>
  </si>
  <si>
    <t>por Ocaña í D. Felipe Suafez Bustamante, alcalde por el estado noble de la referi da villa, hasta 31 del corriente. En el año de 1813 salió de esta corte Josef Menendez para Salamanca; en el mismo año pasó á Bayona, en Francia; regresó á España, y habiéndose embarcado en Santander para la Havana vo…</t>
  </si>
  <si>
    <t>Bustamante, Manuel de Quevedo</t>
  </si>
  <si>
    <t>Manuel de Quevedo Bustamante</t>
  </si>
  <si>
    <t>…allan todos en la Real aduana de Santander. Los compradores acudirán en Santander á D. Ramón Amonio de Escudero, del comercio de ella, y en Madrid ai comisario honorario de guerra D. Manuel de Quevedo Bustamante, plazuela del Angel. Se cita á los acreedores é interesados en la testamentaría de Doña María de la Encarnación Nestares y Chapín, muger que fue de D. Francisco Herrera, para que concurran á la junta que ha de celebrarse el dia 28 de este mes á las ocho de su…</t>
  </si>
  <si>
    <t>Bustio, Benita María</t>
  </si>
  <si>
    <t>Benita María Bustio</t>
  </si>
  <si>
    <t>…o del Sr. D. Joaquín Almazan y Ximeno, del Consejo de S. M., teniente corregidor de esta villa, se cita, llama y emplaza á todos los acreedores á los bienes quedados por muerte de Doña Benita María Bustio, para que dentro del término de 30 dias comparezcan ante dicho señor juez, y por la escribanía de Don Pascual Seco por sí ó por medio de procurador con poder bastante á decir de su de recho en el juicio de testamentaría, pues si comparecieren se Ies oirá y gu…</t>
  </si>
  <si>
    <t>…quin Al mazan y Gímeno , del Consejo de S.M., te niente corregidor de esta muy heroica villa , se cita , llama y emplaza á todos ios acreedores á los bienes quedados por muerte de Doña Benita María Bustio para que en el término de 1 § dias,precisos y perentorios,que por ú timo se les señala,com parezcan ante dicho señor juez, y por la escribanía del número de D. Pascual Seco, por sí ó por medio de procurador con poder bastante i decir de su derecho, pues si</t>
  </si>
  <si>
    <t>Bustos, Josef Martínez de</t>
  </si>
  <si>
    <t>Josef Martínez de Bustos</t>
  </si>
  <si>
    <t>…de Marzo de 1817.= YO EL REY. = Yo D. Marcelo de Ondarza, Secretario del Rey nuestro Señor, lo hice escribir por su mandado. = El Almirante ‘Duque de Veragua.c=D. Víctor Rascón. = D. Josef Martínez de Bustos. = D. Francisco Sánchez Gadeo. El Rey se ha servido promover á gefe de escuela en el departamento de Artillería de la Coruña al mariscal de campo D. Joaquín de Ibarra, coro nel de dicha arma. Ed Rey nuestro Señor se ha servido conceder su Real permiso á D. Jo…</t>
  </si>
  <si>
    <t>Bygn</t>
  </si>
  <si>
    <t>Ó91 GRAN BRETAÑA. Londres 11 de Junio. El diario de Leeds del sábado 6 anuncia que han sido arrestados 10 sngetos en Thornhill Lees, cerca de Dewsbnry , por el general Bygn , y que habiéndoseles tomado declaración, los han llevado á un encierro hasta nueva orden. Corren voces de que son comisionados de diversas partes del reino; quetenian hacia tiempo juntas secretas en el norte de Yorkshire, y que el ob jeto de sus reuniones er…</t>
  </si>
  <si>
    <t>B’anco, Josef Sibau y</t>
  </si>
  <si>
    <t>Josef Sibau y B’anco</t>
  </si>
  <si>
    <t>…spaña del P. Juan de Mariana, Lus trada con notas históricas y críticas, y tablas cronológicas desde los tiempos mas antiguos hasta la muerte del Sr. Rey D. Carlos irt, por el Dr. D. Josef Sibau y B’anco, canónigo de S. Isidro, acudirán á recoger el tomo 2.0, y pagar el 3.0, que etrá en prensa, á la librería de Quirós, calle de Atocha, frente á la casa de los cinco Gremios. Instrucciones económicas y políticas dadas por el famoso Sancho Panza S un hij &gt; suyo,…</t>
  </si>
  <si>
    <t>C, J.</t>
  </si>
  <si>
    <t>J. C</t>
  </si>
  <si>
    <t>957</t>
  </si>
  <si>
    <t>…ra positivamen te que Mr. Richard Rush está nombrado para reemplazar á Mr. Adams co mo ministro plenipotenciario de los Estados-XJnidos cerca de nuestra corte. Por el buque Suzan, capitán J. C., que llegó de la China á Madtás el 2 de Febrero último, se ha sabido que todo estaba tranquilo en la China, y que se habían recibido en Madras cartas de Persia anunciando que estaba en camino un embajador ruso cerca de la corte de Persia con una comitiva nu m…</t>
  </si>
  <si>
    <t>Ca, Antonio Josef</t>
  </si>
  <si>
    <t>Antonio Josef Ca</t>
  </si>
  <si>
    <t>…uctore Antonio Josepho Cavanilles.—. Observations de Mr. L'Abbé Cavanilles sur Tanicle Espagne de la nouvelle Encyclopedie._..Colección de papeles sobre controversias botánicas de D. Antonio Josef Ca vanilles, con algunas notas del mismo á los escritos de sus antagonistas. Para reco mendar estas obras basta el nombre de su autor, cuyos escritos, bien conocidos de todas las naciones cultas por su solidez,su método, y por los adelantamientos y ven tajas que…</t>
  </si>
  <si>
    <t>Ca, Juan</t>
  </si>
  <si>
    <t>Juan Ca</t>
  </si>
  <si>
    <t>…D. Pedro Serra y D. Eugenio Calderón en su cla.. se de mayores de gramática latina; D. Leonardo y D Francisco Gómez -en -la de medianos; D. Josef Félix del Campo, D. Josef Gallo, D. Juan Ca no y D. Pedro Capillas en la de menores ¿ D. Adrián Coilantes y Ramón</t>
  </si>
  <si>
    <t>Ca, Juan Ruiz de</t>
  </si>
  <si>
    <t>Juan Ruiz de Ca</t>
  </si>
  <si>
    <t>…ión solemne de iglesia á S. Fernando su patrono el dia 30 de Mayo último con el Señor de manifiesto en !a iglesia del convento* de S. Francisco, habiendo desempeñado el panegírico D. Juan Ruiz de Ca chupín, canónigo doctoral de la santa iglesia catedral de esta- ciudad, siendo muy lucido y crecido el concurso por dirigirse todo á pedir por la conser vación de las preciosas vidas de nuestros amados Reyes y Real familia ; y queriendo señalarle de algún mod…</t>
  </si>
  <si>
    <t>Ca, Ramon</t>
  </si>
  <si>
    <t>Ramon Ca</t>
  </si>
  <si>
    <t>…bien premiadas ocho niñas de las escuelas gratuitas de cmer y calcetería, que se habian distinguido en la perfeccion y esmero de sus labores. Asimismo fue nombrado socio numerario D. Ramon Ca5ariego Villamil, vecino de la Coruña, por el singular esmero con que se habia dedicado á varios de los objetos de la sociedad, y á la educacion de su hija Doña Alfonsa, la 'cual en la corta edad de 9 años habia pintado, bajo la direccion de Don Tomas Fernande…</t>
  </si>
  <si>
    <t>Caballero, Bernardo Francés</t>
  </si>
  <si>
    <t>Bernardo Francés Caballero</t>
  </si>
  <si>
    <t>…El dia 17 del corriente se presentaron á cumplimentar á S. M. por su fe liz enlace con la Serma. Sra. Infanta de Portugal Doña María Isabel , á nombre del cabildo de Urgel, el Dr. D. Bernardo Francés Caballero, obispo electo de aquella diócesis, y D. Manuel de Quevedo, dignidad de arcediano de Andorra, é inquisidor de Toledo; de los cuales el primero dijo: ,,Señor: El cabildo de Urgel, representado por el obispo que V. M. aca ba de nombrar, y por uno de sus primera…</t>
  </si>
  <si>
    <t>Caballero, Josef</t>
  </si>
  <si>
    <t>Josef Caballero</t>
  </si>
  <si>
    <t>…antes en Londres, y Claudio Cristóbal D’Court, de nación francés, dependiente que fue de la cocina del Prínci pe de Maserano por los años de 1788 á 90, acudirán á la habitación de D. Josef Caballero, calle de Juanelo, mím. 22, á recoger documentos que les interesan. Lecturas útiles y entretenidas: colección de novelas llenas de amenidad y buena moral: constan de 11 tomos en 8.°, de los cuales Jos siete, publicados antes de la última guerra, se han reimpr…</t>
  </si>
  <si>
    <t>Caballero, Josef Luciano</t>
  </si>
  <si>
    <t>Josef Luciano Caballero</t>
  </si>
  <si>
    <t>…y porfiadamente zaherido por los que solo miden la esfera de los cono cimientos humanos por ios que ellos tal vez torcidamente adquirieron. Dio principio á los egercicios públicos D. Josef Luciano Caballero, reci tando un elegante discurso en lengua latina, en que manifestando los abusos introducidos en la enseñanza de este riquísimo y bello idioma por algunos gramáticos menos instruidos, se estableció el acertado método de los mas cé lebres humanistas extranger…</t>
  </si>
  <si>
    <t>Caballero, Juan</t>
  </si>
  <si>
    <t>Juan Caballero</t>
  </si>
  <si>
    <t>…iélagos, en provi dencia de 30 del pasado ha mandado hacer saber al poseedor ignorado del censo perpetuo del vínculo que fundó Sebastian de Paz y Buvtrago, y poseyó en lo anti guo D. Juan Caballero, sobre una casa, calle de la Magdalena baja, núm. 5, man zana 8, con accesorias á la de la Cabeza, cuya mitad fue rematada en pública sub asta en 14 de Enero de este año en 928 rs., que es el todo de su tasa, y deberá in vertirse en pago de los acreedores de…</t>
  </si>
  <si>
    <t>Caballero, Rafael</t>
  </si>
  <si>
    <t>Rafael Caballero</t>
  </si>
  <si>
    <t>…erra 10: Juan de Sierra 10: D. Juan Labordeta 100: D. Manuel Ximenez 300: Juan de la Vega 12 : Miguel Muñoz 60: Doña Francisca Carrasco 50: Salvador Cas co 10: Diego de Castro 12: D. Rafael Caballero 40: D. Salvadar Carruana 100: D. Antonio Fernandez 200: Francisco García Ruiz 60.__ To ta! 6061. Debiendo subastarse los suministros de paja y cebada que consumen las Reales caballerizas, brigada del Real cuerpo de Guardias de la Persona de S. M., caballería…</t>
  </si>
  <si>
    <t>Cabañes, Gerónimo</t>
  </si>
  <si>
    <t>Gerónimo Cabañes</t>
  </si>
  <si>
    <t>…bot y Menos: Para que el crédito público sea útil, y no per judique á la nación que use de él, es necesario que sea sabiamente combina do y religiosamente sostenido por las leyes. D. Gerónimo Cabañes: Los tributos deben recaudarse por administración? y nunca por arriendo.</t>
  </si>
  <si>
    <t>Cabanes, Tosef Mariano</t>
  </si>
  <si>
    <t>Tosef Mariano Cabanes</t>
  </si>
  <si>
    <t>…onsejo de lodías, a D. Diego de la Vega .oficial de la secretaría del despacho de Ma*" r“‘ r “»*/ Cruces supernumerarias „ ,A D* Man. a,no García Puerta, veinticuatro de Granada ; D. Tosef Mariano Cabanes, regidor perpetuo de Barcelona; D. Francisco de Valle-Roldan, decano de la Rota de la Nunciatura; D. Miguel Herrera, dignidad de la ca tedral de la Havana; D. Manuel González de la Vega, vecino de la Hava5a ’i DV.A'!drC'S Im?z Altolaguirre, deán de la catedra…</t>
  </si>
  <si>
    <t>Cabañiés, Juan Molins y</t>
  </si>
  <si>
    <t>Juan Molins y Cabañiés</t>
  </si>
  <si>
    <t>…es y Elias , D. Francisco Zacagnini y Monzon, D. Pablo Tous y Fíol, D. Miguel Jorganes y Mario, D. Antonio Venene y Andrade, D. Julián Gata y Malpica, D. Mariano Canals y May oís, D. Juan Molins y Cabañiés, D. Juan de Dios Valera y Viaña, D. Josef Zizur y Azanza, D. Tomas Mones y Puertas, D. Miguel Zizur y Azanza, D. Joaquín Basols y Marañosa, D. Josef Amat y Desvaíls, D. Pablo Navas y Loigorri, D. Josef Navarro y Alarcon , D. Agustín Blake y Tovar, D. Josef Ro…</t>
  </si>
  <si>
    <t>Cabe, Manuel Perez</t>
  </si>
  <si>
    <t>Manuel Perez Cabe</t>
  </si>
  <si>
    <t>…aña , oficial mayor de la tesorería de la Real y distin guida orden de Carlos m; D. Mariano Tríbes Valdivieso, capitán retirado, y secretario de la junta de caminos de Orihuela, y D. Manuel Perez Cabe llos , oficial mayor de la Real negociación del Giro.</t>
  </si>
  <si>
    <t>Cabezudo, Francisco Pavón</t>
  </si>
  <si>
    <t>Francisco Pavón Cabezudo</t>
  </si>
  <si>
    <t>…o en Sevilla , para que pueda usar del distintivo de la cruz de la Espue la de oro. El Rey nuestro Señor se ha servido admitir el donativo hecho á favor de i a Re; 1 IIcF/nda p»?r D. Francisco Pavón Cabezudo, vecino de la villa de A ¡cuescas , en la provincia de Extremadura, de 27794 reales vellón á que ascienden los suministros con que ha auxiliado á nuestras tropas en la pasada guerra; y ha mandado S. M. que se publique en la gaceta para satis facción del inter…</t>
  </si>
  <si>
    <t>Cabo, Antonio de Matas</t>
  </si>
  <si>
    <t>Antonio de Matas Cabo</t>
  </si>
  <si>
    <t>…s de haber distribuido varias medallas de plata á ios mas sobresalientes , acordó distribuir otros premios á todos los demas, y que los diputados del común y comisarios de escuela D. Antonio de Matas Cabo y D. Manuel de las Cuevas, en nombre y representación del ayuntamiento, pasasen á las casas de D011 Damaso Nieto, catedrático de latinidad, y de D Josef Francisco de Hordas, maestro de primeras letras, para que en su nombre les diese las gracias por su zelo y sus desvelo…</t>
  </si>
  <si>
    <t>Cabra, Bruno</t>
  </si>
  <si>
    <t>Bruno Cabra</t>
  </si>
  <si>
    <t>…lmazan , del Consejo de S. M., teniente corregidor de esta muy heroica villa, se cita, llama y emplaza á los parien tes y demas personas que intenten tener derecho á los bienes de D. Bruno Cabra!, que falleció en esta corte el dia 26 de Mayo de 1812 abintestato, para que en el término de 30 días, contados desde el i.° del corriente, acudan ante dicho señor juez y escribanía de número de D. Santiago de Estepar á deducir su derecho; con la prevención d…</t>
  </si>
  <si>
    <t>Cabrejano, Antonio Castellano y</t>
  </si>
  <si>
    <t>Antonio Castellano y Cabrejano</t>
  </si>
  <si>
    <t>…honora rio de la Nunciatura. Consiliario i.° D. Josef María Diez Quijada y Oveje ro. Idem 2.0 D. Clemente García Escudero y Urrutia. Idem 3.0 D. Pablo Govantes. D. Marcos Galan , D. Antonio Castellano y Cabrejano, D. Juan González Miranda, D. Antonio Arias de Prada , D. Justo Saenz de S. Pedro, D. Gabriel Ceruelo de Velasco y D. Josef Sacasa. Capellán D. Francisco Carpintero y Eraso. Para el de S. Bartolomé en Salamanca. Rector D. Ramón de Aguilar Fernandez de Córdoba…</t>
  </si>
  <si>
    <t>Cabrera, Juan Luis</t>
  </si>
  <si>
    <t>Juan Luis Cabrera</t>
  </si>
  <si>
    <t>…es sueltos, y porción de municiones asi de artillería como de infantería, y otros varios efectos los que se han hallado en el fuerte. El Rey nuestro Señor se ha servido conceder á D. Juan Luis Cabrera y compañía, vecinos de la villa de Cáceres, en la provincia* de Extremadura, el privilegio de colocar el escudo de armas Reales, con el título de Real, so bre las puertas de la fábrica de paños, bayetas y otros tejidos de lana que han establecido en aquella v…</t>
  </si>
  <si>
    <t>Cabrera, Matías</t>
  </si>
  <si>
    <t>Matías Cabrera</t>
  </si>
  <si>
    <t>…rezelos de enfermedades. Fraga 26 de Setiembre. Luego que se recibió en esta ciudad la plausible noticia del feliz alumbra miento de la Reina nuestra Señora, dispusieron los Sres. D. Matías Cabrera, corregidor de esta ciudad , y el teniente coronel D. Ramón González Barea, oficial mayor de la contaduría de propios del reino de Aragón ,que se diesen á su divina Magestad las gracias por un acontecimiento de tanto ínteres para toda la nación. Y para que es…</t>
  </si>
  <si>
    <t>Cáceres, Domingo de Arribas y</t>
  </si>
  <si>
    <t>Domingo de Arribas y Cáceres</t>
  </si>
  <si>
    <t>…l manifestó los conatos y desvelos del cuerpo por proporcionar esta enseñanza; y habiéndose presentado en seguida los discípulos D. Policarpo Aragón , D. Josef Martínez y Yanguas, D. Domingo de Arribas y Cáceres, D. Antonio López de Córdoba, D. Ignacio Clemente, D. Josef Eu genio de Sobrado y D. Manuel María de Sobrado, y sorteándose entre ellos el orden con que debían ser examinados, explicaron la teoría del arte con ar reglo al impreso que se distribuyó entre los c…</t>
  </si>
  <si>
    <t>Cáceres, Francisco de Paula</t>
  </si>
  <si>
    <t>Francisco de Paula Cáceres</t>
  </si>
  <si>
    <t>Gaceta de Madrid n.º 55</t>
  </si>
  <si>
    <t>…ción de sus bienes ante el Lie. D. Francisco Velloc y Navarro, teniente segundo de asisten te, alcalde mayor por S. M. en dicha ciudad, y por la escribanía de su número que egerce D. Francisco de Paula Cáceres; y en providencia de 26 de Marzo próximo se ha mandado citar y emplazar, como desde luego se hace, á D. Pedro Fernandez Cuenca, hermano del D. Josef, por hallarse ausente sin saberse su paradero, ó á los herederos del mismo D. Pedro, para que en el término de…</t>
  </si>
  <si>
    <t>Cáceres, Isidro Daza y</t>
  </si>
  <si>
    <t>Isidro Daza y Cáceres</t>
  </si>
  <si>
    <t>…0 ducados, pagados por la justicia con la mayor puntualidad por tercios del caudal de propios. Los preten dientes dirigirán sus instancias al escribano de ayuntamiento de la misma D. Isidro Daza y Cáceres; en la inteligencia que se admiten memoriales hasta el 30 de No viembre, para en seguida proveerse y entrar á servirla en i.° de Enero del año pró ximo venidero. El editor de la Guia de la Grandeza, animado del gran deseo que tiene de dar á ios Excmos. Sres.…</t>
  </si>
  <si>
    <t>Cadenas, Bernar do</t>
  </si>
  <si>
    <t>Bernar do Cadenas</t>
  </si>
  <si>
    <t>…r con su propia mano estas honoríficas dis tinciones del saber y de la aplicación , colocándolas en el pecho de los si guientes beneméritos: D. Joaquín Cañedo, D. Bernardo García, D. Bernar do Cadenas, D. Agustín Bermejo, D. Tomas Perez, D. Blas Cadenas, Don Juan García, D. Manuel Ribera, D. Máximo y D. Joaquín Vargas, Don Felipe Crespo, D. Francisco Canillas, D. Pedro Miguel, D. Genaro Sal gado, D. Cándido de la Fuente , D. Josef García Vázquez , D. Aquil…</t>
  </si>
  <si>
    <t>Cadenas, Blas</t>
  </si>
  <si>
    <t>Blas Cadenas</t>
  </si>
  <si>
    <t>…aber y de la aplicación , colocándolas en el pecho de los si guientes beneméritos: D. Joaquín Cañedo, D. Bernardo García, D. Bernar do Cadenas, D. Agustín Bermejo, D. Tomas Perez, D. Blas Cadenas, Don Juan García, D. Manuel Ribera, D. Máximo y D. Joaquín Vargas, Don Felipe Crespo, D. Francisco Canillas, D. Pedro Miguel, D. Genaro Sal gado, D. Cándido de la Fuente , D. Josef García Vázquez , D. Aquilino Lu nar, D. Pedro Gómez, D. Celedonio Casado, D. V…</t>
  </si>
  <si>
    <t>Cafranga, Joaquín María de Ferrer y</t>
  </si>
  <si>
    <t>Joaquín María de Ferrer y Cafranga</t>
  </si>
  <si>
    <t>…de S. M. en nombre de la noble y leal villa del Pasage los Sres. D. Josef de Imaz, del consejo de S. M. en el supremo de Hacienda, y director general primero de Rentas Reales , y D. Joaquín María de Ferrer y Cafranga, caballero de la Real orden Americana de Isabel la Católica, y capitán de voluntarios distin guidos de la Concordia del Perú; el cual dijo: „ Señor: Comisionados por la villa del Pasage para felicitar á V. M. por su efectuado enlace con nuestra augusta Reina…</t>
  </si>
  <si>
    <t>Cagigal, Tomas</t>
  </si>
  <si>
    <t>Tomas Cagigal</t>
  </si>
  <si>
    <t>…s ana. ,, Excmo. Sr.: Paso á manos de V. E. para Jos fines que fueren de su su perior agrado el parre original que me dirige el subdelegado y comandante de armas del Real de Tasco D. Tomas Cagigal, referente á la última expe dición que con los realistas de su mando verificó en Ja madrugada del 4 del corriente sobre las inmediaciones de Chontalcuatlan y Tonatico contra una de las gavillas del faccioso Vargas, que atacó en el mismo dia al corto des tacam…</t>
  </si>
  <si>
    <t>Cagigal.’, Tomas</t>
  </si>
  <si>
    <t>Tomas Cagigal.’</t>
  </si>
  <si>
    <t>…s co están deseosos de derramar su sangre en defensa de su adorado Rey y Señor. „Dios guarde á vmd. muchos años. Pueblo de Chontalcuatlan Febrero 4 de 1817. = Antonio Gómez. = Sr. capitán D. Tomas Cagigal.’* Madrid 2 6de Noviembre. ARTICULO DE OFICIO. El Rey nuestro Señor se ha complacido con la siguiente exposición del cura párroco de Letur, en la provincia de Murcia, é individuo de la junta de contribución de este pueblo. „Señor: Uno de los dias felices que la…</t>
  </si>
  <si>
    <t>Cagigas, Josef Varela</t>
  </si>
  <si>
    <t>Josef Varela Cagigas</t>
  </si>
  <si>
    <t>…y rastrojera. Las solicitudes se dirigirán á D. Tomas Redondo Rubio. En e! año pasado de 1807 se siguieron autos en la junta del apostadero de Ma nila, en las islas Filipinas, por D. Josef Varela Cagigas y D. Félix Ruiz, vecinos y del comercio de dicha ciudad, y armadores del corsario español la Victoria, con el capitán dinamarqués Detmer Smith sobre represa de la fragata de su nación y mando nombrada Susana; y como de las providencias dadas en ellos se interpuso apelación p…</t>
  </si>
  <si>
    <t>Cagigas, Juan Manuel Mico</t>
  </si>
  <si>
    <t>Juan Manuel Mico Cagigas</t>
  </si>
  <si>
    <t>…ores fiesta dis tinción , reducidos á unas carteras grandes de tafilete para el dibujo, y lapi ceros, de plata con porción de lápiz fino. Fueron los premiados como extra ordinario D. Juan Manuel Mico Cagigas ; en primera clase IX Ramón de 1&amp; Carrera Estrada y D. Claudio Ruiz de Eguilaz y Peredo ; en segunda Don Juan Hernando y IX Gaspar de Rivas , yen tercera D. Rafael García y D. Domingo Rogi; pues otros que habían acreditado su aplicación , se les es timuló á c…</t>
  </si>
  <si>
    <t>Caiatayud, Mariano Madramany y</t>
  </si>
  <si>
    <t>Mariano Madramany y Caiatayud</t>
  </si>
  <si>
    <t>…lo determinado en Reales órdenes, y les parará el perjuicio que haya lugar. Contienda de las letras y las armas, en que se disputan la preferencia, y quedan al fin reconocidas por D. Mariano Madramany y Caiatayud, presbítero. Las armas y Jas letras han sido siempre las fuentes mas limpias y mas copiosas de la nobleza. El autor de este escrito, después de haber elevado la profesión militar al mas alto honor, hace una artificiosa transición, pasando á colocar en región…</t>
  </si>
  <si>
    <t>Cal, Manuel Sanz</t>
  </si>
  <si>
    <t>Manuel Sanz Cal</t>
  </si>
  <si>
    <t>…iudad de Pam- ronda , residente et&amp;¡ piona. Paris.................. 163,606.. 74;. 3-* Idem.. D. Luis Díaz Hoyue Ninguno........... 727- ^ los , del comercio de Burgos. 4-a Idem.. D. Manuel Sanz Cal D. Manuel Robre vo, del comercio de, do, en Madrid....... 806.. Segovia. 5,a' Idem. Francisco Hateo,, Mr. de la Croix, de vecino de Salaman París......................... 1,599.. ca.. Idem., Atanasio García, ve Ninguno................. 3J9- 39“ cino de Salamanca. Antonio Req…</t>
  </si>
  <si>
    <t>Cala, Josef</t>
  </si>
  <si>
    <t>Josef Cala</t>
  </si>
  <si>
    <t>…ea del valor de estos, de su reducción hasta las regías de compañía; habiéndose hecho dig nos del aplauso y de que se Ies adjudícase el premio D.Pedro Pacheco, Don Josef Iglesia , D. Josef Cala, D. Josef Adan, D. Manuel Huertas, D. Tosef Ro mero, D. Josef Villanueva, D. Francisco Capulino, D. Juan Romero, D. Vicente Brete, D. Nicolás Moreno, y entre estos muy en particular Don Josef Cotera, que entrando en esta academia á la edad de seis años sin co…</t>
  </si>
  <si>
    <t>Calatayud, Mariano Madramany y</t>
  </si>
  <si>
    <t>Mariano Madramany y Calatayud</t>
  </si>
  <si>
    <t>Gaceta de Madrid n.º 64</t>
  </si>
  <si>
    <t>…a que se se ñale por el ayuntamiento, y ha de exhibir título expedido por el Consejo. Tratado de la elocución ó del perfecto lenguage y buen estilo con respecto al castellano: por D. Mariano Madramany y Calatayud, donde se explican los estilos lacónico, ático, rodio y asiático, sublime, medio y tenue: se habla de la claridad de la locución, de los períodos, de su número y armonía, de los vicios y defectos de los estilos hinchado, seco &amp;c. Se hallará en la librería de…</t>
  </si>
  <si>
    <t>Calatayud, Mariano Maelramany y</t>
  </si>
  <si>
    <t>Mariano Maelramany y Calatayud</t>
  </si>
  <si>
    <t>…o de México &amp;c., con el retrato del autor y un resúmen de su vida: 3 tomos en 4.0 Se hallarán en la librería de Sojo, calle de las Carretas, á 50 rs. en pasta. Décimas devotas por D. Mariano Maelramany y Calatayud. Se hallarán á real en la librería de Barco, y la paráfrasis del Magníficat á tres cuartos. La cruz en laberinto que dispuso el angélico doctor Sto. Tomas para defenderse de los rayos y terremotos, adornada con cuatro estampas de nuestra Señora de Nie va, San…</t>
  </si>
  <si>
    <t>Calderón, Andrés Alvarez</t>
  </si>
  <si>
    <t>Andrés Alvarez Calderón</t>
  </si>
  <si>
    <t>…pad, todas las memorias de los que soliciten semejante recompensa y distinción. Se hace saber á D. Cárlos Josef de Kassel y á Doña Teresa María de las Mercedes de Kassel, muger de D. Andrés Alvarez Calderón , hijo é hija.de D. Josef Santiago de Kassel, mariscal de campo de los egéfcitos de S. M. Ca tólica, y de Doña María de la Luz Espinosa deContreras, natural de la Havana, que habiendo fallecido en el reino de los Países-Bajos el barón Josef Benito de Kassel B…</t>
  </si>
  <si>
    <t>Calderón, Antonio Duran y</t>
  </si>
  <si>
    <t>Antonio Duran y Calderón</t>
  </si>
  <si>
    <t>…os bienes de dicha testamentaría; apercibidos que de n© hacerlo se sustanciarán los autos, y parará el perjuicio que haya lugar. Los síndicos y acreedores á los bienes del difunto D. Antonio Duran y Calderón, maestro que fue de coches de la Real casa, tienen junta general el domingo 18 del presente en la casa fábrica de coches que fue del mismo Duran, calle ancha del Avapíes, á las nueve de la mañana; y para que llegue á noticia de todos los interesados que tiene…</t>
  </si>
  <si>
    <t>Calderón, Josef de Jesús</t>
  </si>
  <si>
    <t>Josef de Jesús Calderón</t>
  </si>
  <si>
    <t>…compaña á todas las expediciones. „ Faltaría á mi deber si dejase de participar á vmd. el mérito contraído por la partida de indultados á cargo de D. Manuel y D. Miguel Vázquez, y D. Josef de Jesús Calderón , habiendo dado el primero muerte con una piedra á un rebelde: el de los realistas y vecinos de este pueblo con su res petable cura el R. P. Fr. Nicolás Ramírez de Arellano, por su decisión á la justa causa y deseos de ser útil, ofreciéndose á porfía para ser…</t>
  </si>
  <si>
    <t>Calderón, Josef Sendia</t>
  </si>
  <si>
    <t>Josef Sendia Calderón</t>
  </si>
  <si>
    <t>…Ramón de Aguilar Fernandez de Córdoba. Consiliario T.° Don Anselmo de Isla Manrique. Idem 2° D. Ambrosio de Velasco y Oraoño Rosales. Idem 3.0 D. Francisco Zapata Bueno. Capellán D. Josef Sendia Calderón. Para el del Arzobispo en Salamanca. Rector D. R amon de Planella y Fivaller. Consiliario i.° D. Josef Jalotl y Jalón. Idem 2.0 D. Rafael Bermudez. Idem 3.0 D. Francisco Ribera y Maestre» Capellán D. Lorenzo Escolar.</t>
  </si>
  <si>
    <t>Calleja, Félix</t>
  </si>
  <si>
    <t>Félix Calleja</t>
  </si>
  <si>
    <t>…e de Casa-FernanNuñez; al teniente general de la Real Armada D. Francisco Xavier Uriarte, comandante general del departamento de Cartagena, la gran cruz de Car los ni; ai teniente general D. Félix Calleja la gran cruz de Isabel ia Católi ca; al tesosero de egército D. Rafael García de Pizarro cruz de comendador en la misma orden ; y cruces de caballeros en ella á D. Juan Josef Gárate, presbítero; ai brigadier D. Andrés de la Rúa; ai capitán de fragata D. Ma nu…</t>
  </si>
  <si>
    <t>Calleja, Félix María</t>
  </si>
  <si>
    <t>Félix María Calleja</t>
  </si>
  <si>
    <t>…ió en su persecución , y que igualmente acompaño á V. E. „ Dios guarde á V. E. muchos años. Puebla Junio i.°de 1816. = Excelen tísimo Señor.:= Ciríaco de Llano. = Excmo. Sr. virey D. Félix María Calleja.” i.° „Acabo de recibir aviso de que el dia 29 del actual á las 12 déla noche</t>
  </si>
  <si>
    <t>…s, los cuales acompaño á V. E. para su superior conocimiento. „Dios guarde á V. E. muchos años. Puebla Junio 3 de 1816. = Excelen tísimo Sr. = Ciriaco de Llano. = Excmo. Sr. virey D. Félix María Calleja.” i.° ,,En debido obedecimiento de la orden de vmd. salí con 50 infantes del batallón i.° americano al mando del subteniente D. Josef Bahi, y 25 caba llos de mi compañía de caballería volante de esta ciudad, dirigiéndome para el pueblo de Natívitas,en donde s…</t>
  </si>
  <si>
    <t>Calleja, Juan Antonio Cobo</t>
  </si>
  <si>
    <t>Juan Antonio Cobo Calleja</t>
  </si>
  <si>
    <t>…n del Sur. Por Real resolución, á consulta de la Cámara , se ha servido S.. M. con ceder la merced de título de Castilla para sí, sus hijos, herederos y suceso res perpetuamente á D. Juan Antonio Cobo Calleja, comisario ordenador honorario de los Reales egércitos, alguacil mayor del. Sto. oficio de la inqui sición de la villa de Villa del Rio, y condecorado con la flor de Lis de S. M. cristianísima, con la denominación de marques de Blanco hermoso y vizconde de lo…</t>
  </si>
  <si>
    <t>Callejo</t>
  </si>
  <si>
    <t>…tonio del Callejo, sobre la correría que hizo de mi or den por la sierra de Tutotepec. Por él se impondrá V. E. de la utilidad de esta expedición, como del mérito contraido por el capitán Callejo y tropa que formaba su corta división , que en cinco días hara recorrido cerca de 70 leguas por ios caminos mas ásperos de la sierra. „ Dios guarde á V. E. muchos años. Mesa de S. Diego Marzo 5 de 1817.= Excmo. Sr. = Francisco de las Piedras. Excmo. Sr. virey…</t>
  </si>
  <si>
    <t>Callejo, Josef Antonio del</t>
  </si>
  <si>
    <t>Josef Antonio del Callejo</t>
  </si>
  <si>
    <t>…e D. Francisco de las Piedras. ,, Excmo. Sr.: Acompaño á V. E. respetuosamente para su superior co nocimiento el parte original que me ha remitido el capitán de milicias de México D. Josef Antonio del Callejo, sobre la correría que hizo de mi or den por la sierra de Tutotepec. Por él se impondrá V. E. de la utilidad de esta expedición, como del mérito contraido por el capitán Callejo y tropa que formaba su corta división , que en cinco días hara recorrido cerca de…</t>
  </si>
  <si>
    <t>Callis, Josef</t>
  </si>
  <si>
    <t>Josef Callis</t>
  </si>
  <si>
    <t>…su aplicación le había merecido. Madrid 4 de Agosto. Nota de los donativos hechos d favor de la Real hacienda qtte S. M. se ha dignado admitir y mandar se publiquen en la gaceta, D. Josef Callis, presbítero, canónigo de S. Félix y S. Narciso de Gero na, 300 rs. anuales por su vida: D. Fernando Bernaldez, canónigo de la magistral de Badajoz, 2040 rs. en créditos. Los vecinos de la ciudad de Antequera que resultan de la adjunta nota firmada por el subd…</t>
  </si>
  <si>
    <t>Calvet, Juan</t>
  </si>
  <si>
    <t>Juan Calvet</t>
  </si>
  <si>
    <t>…e ai llegar la artillería se situase en la batería de brecha, cuya construcción confié al bizarro y activo capitán de Barbastro D. Eugenio Arana y al te díente graduado de Granada D. Juan Calvet. Los cazadores llenaron á mi satisfacción sus deberes, hicieron desaparecer algunos miserables que se les presentaron por las calles, situé una fuerte reserva en la plaza mayor, y el resto de la división se estableció militarmente sobre el edificio fortificad…</t>
  </si>
  <si>
    <t>…. \ nota. Los oficiales muertos son el capitán del regimiento de Barbastro D. Andrés Pinillos y el subteniente del mismo D. Francisco León; y los heridos el teniente de granaderos D. Juan Calvet y el ayudante de dra gones de la Union D. Antonio Alburquerque, y el del Rey de infantería el teniente Juan Josef Nieves. Cuartel general de Nueva-Barcelona Abril 8 de i8i7.= Gefe de estado mayor interino, Manuel Bausá. = V.Ü B.° = Juai* de Aidama. De la rela…</t>
  </si>
  <si>
    <t>Calvete, Juan</t>
  </si>
  <si>
    <t>Juan Calvete</t>
  </si>
  <si>
    <t>…rmente al teniente de navio D. Andrés Tosta, al de fragata D. Francisco Bosico, á los alfére ces de navio D, Juan Sollozo, D. Antonio Villalba y D. Rafael Díaz, y á los de fragata D. Juan Calvete y D. Félix Angosto, los cuales han manifes tado conocimientos, valor y atrevimiento en la toma de los fuertes. Igual mente hace mención honorífica de los tenientes D. Jacobo Jones y D. Josef Caparros, ayudantes del brigadier Canterac, los cuales comunicaron las ór denes en medi…</t>
  </si>
  <si>
    <t>Calvo, Manuel</t>
  </si>
  <si>
    <t>Manuel Calvo</t>
  </si>
  <si>
    <t>…de la Reina madre, calle de las Platerías, y en la del Caballero de Gra cia: en Zaragoza en la librería de Yagüe; en Valencia en la de Mallen y Salva, y en Granada en la botica de D. Manuel Calvo. Prontuario de los grados canónicos y civiles de consanguinidad, cognación legal y espiritual, y de los derechos de patronatos, explicados con toda claridad, y sus correspondientes árboles para mayor inteligencia: obra sumamente útil y necesaria á todos los q…</t>
  </si>
  <si>
    <t>Calvo, Román Lorenzo</t>
  </si>
  <si>
    <t>Román Lorenzo Calvo</t>
  </si>
  <si>
    <t>…9 de Noviembre de 1809, para que en el preciso y perento rio término de 30 dias, que por primero se les señala, acudan á dicho juzgado pri vilegiado y escribanía de él al cargo de D. Román Lorenzo Calvo, que lo es de cá mara de dicho supremo Consejo de la Guerra, por si ó por medio de procurador con poder bastante á deducir y exponer el derecho de que crean hallarse asistí los en el particular; con apercibimiento que transcurrido sin haberlo hecho Jes parará…</t>
  </si>
  <si>
    <t>…19 de No&gt; remore de 1809, para que en el preciso y perentorio término de 20 dias, que por segundo seles señala, acudan á dicho juz gado privilegiado y escribanía de el al caigo de D. Román Lorenzo Calvo, que la es de cámara de dicho supremo Consejo de la Guerra, por sí ó por medio de pro curador con poder bastante á deducir y exp.mcr el derecho de que crean hallarse asistidos en el particular; con apercibimiento que transcurrido sin haberlo hecho leí parará…</t>
  </si>
  <si>
    <t>…viembre de 1809, para que en el preciso y perentorio término de 10 dias, que por tercero y último se les señala, acudan á dicho juzgado privilegiado y escribanía de él al cargo de D. Román Lorenzo Calvo, que lo es de Cámara de dicho supremo Consejo de la Guerra, por sí ó por medio de procurador con poder bastante, á de ducir y exponer el derecho de que crean hallarse asistidos en el particular; con aper cibimiento que transcurrido sin haberlo hecho les parar…</t>
  </si>
  <si>
    <t>…el día 20 de Julio de este año, para que en el preciso término de 20 dias, que por segundo se les prefija, acudan á dicho juz gado privilegiado, y escribanía del mismo que egerce D. Román Lorenzo Calvo, que lo es de cámara de di.ho supremo Consejo de la Guerra, por medio de pro curador de los Reales Consejos con poder bastante á deducir el derecho de que res pectivamente juzguen hallarse asistidos; con apercibimiento que pasado dicho tér mino sin hacerlo le…</t>
  </si>
  <si>
    <t>Calzada</t>
  </si>
  <si>
    <t>…e portó con la serenidad que acostumbra: al capitán graduado de artillería ayudante del estado ma yor D. Sebastian Diaz; y al capitán de Numancia D. Wintila Navarro, que lo es del coronel Calzada, por la oportunidad y viveza con que comunica ron las órdenes y ocurrieron á todos los puntos despreciando, los peligros; siendo en general digno de aprecio el mérito que han. contraído en esta ac ción todos los demas oficiales y tropa de la división dando la…</t>
  </si>
  <si>
    <t>…ipios de Diciembre bajó una columna del egército del Rey la cordillera nasta las lla nuras de Casanare, y fue batiendo de frente al enemigo, y arrollándolo al propio tiempo que el coronel Calzada egecutaba igual movimiento desde Cuenta á caer sobre el flanco enemigo ó sobre la retaguardia, llegando á Va rinas al mismo tiempo que las otras tropas lo conseguían á Guasdalito, man dadas por el brigadier la Torre. El enemigo pasó el Apure cargado de todos…</t>
  </si>
  <si>
    <t>Calzada, Bernardo María</t>
  </si>
  <si>
    <t>Bernardo María Calzada</t>
  </si>
  <si>
    <t>Gaceta de Madrid n.º 27</t>
  </si>
  <si>
    <t>…ocido entre todas las naciones cultas el mérito del original, que no necesita de mas reco mendación. Pensamientos militares sacados de los mejores autores antiguos por el teniente coronel D. Bernardo María Calzada , con algunas adiciones que le enseñó la expe riencia de muchos años en la milicia. Se hallará á 4 rs. en rústica en las librerías de Arribas, calle de las Carretas, y de Montero, calle de la Concepción Gerónima: puede ir en carta. Egercicio cotidiano de dife…</t>
  </si>
  <si>
    <t>Calzada, Micaela</t>
  </si>
  <si>
    <t>Micaela Calzada</t>
  </si>
  <si>
    <t>…Tengo el honor de acompañar á V. E. una lista del donativo de este ayuntamiento, de los gefes y otros vecinos pudientes. Después de adjudica dos los dotes á Doña Micaela de SÍntra,Doña Micaela Calzada y Doña Ana Dominga Guzman ,que han sido las novias agraciadas , el sobrante de la con tribución se ha invertido en los gastos de la plaza de toros, en orquestas, en dar de comer á los pobres de S. Juan de Dios y la cárcel, y en dos bailes públicos, en que las señoritas con su adorno,…</t>
  </si>
  <si>
    <t>Calzadilla, Santiago</t>
  </si>
  <si>
    <t>Santiago Calzadilla</t>
  </si>
  <si>
    <t>…ría ligera de la Albuhera: la primera ayudantía de la plaza de Mahon, en Mallorca, á D. Domingo Lacrampa, segundo ayudante de la misma: la de Sta. Cruz de Tenerife, en Canarias, á D. Santiago Calzadilla, subtenien te agregado á su estado mayor; y la de la Puebla de Sanabria á D. Pedro León, subteniente del regimiento infantería de Mallorca. En América. La subinspeccion general de las tropas de Gcatemala al brigadier D. Juan Josef Oíazabal: la comandancia del…</t>
  </si>
  <si>
    <t>Cam</t>
  </si>
  <si>
    <t>…la división de Zacatecas D. Manuel Campos y 80 hombres de caballería de Lagos. A las tres de la mañana del siguiente dia nos pusimos en marcha para el Comedero, adelantándonos el capitán Cam pos y yo con la caballería para sorprender al rebelde HermosiLlo, que dia riamente bajaba de los cerros,, donde duerme, entre ocho y nueve de la mañana. Dos guerrillas que destaqué al mando la una del capitán de dra gones de frontera de Colorían D. Ignacio Mi…</t>
  </si>
  <si>
    <t>Cam, Joaquín de</t>
  </si>
  <si>
    <t>Joaquín de Cam</t>
  </si>
  <si>
    <t>…ieron la honra de felicitar á SS. MM. y AA. por su augusto enlace , en nombre de la ciudad de Sto. Domingo de la Calzada , Don Francisco María Campuzano, regidor perpetuo de ella; D. Joaquín de Cam^ puzano, oficial de la primera secretaría de Estado, y D. Leandro de Ocio, de la de Marina; el primero de los cuales dijo lo siguiente: ,, Señor: La ciudad de Sto. Domingo de la Calzada, egemplo siempre de sumisión y de amor hacia la augusta persona de V. M.,…</t>
  </si>
  <si>
    <t>Cam, Josef Sala y</t>
  </si>
  <si>
    <t>Josef Sala y Cam</t>
  </si>
  <si>
    <t>…Pedro de Castro, Sres. Lavin y hermano, D. Manuel Ramón de Viilachica, D. Manuel Francisco Aguirre é hijos, D. Vicente Carrasco y Fominaya, Doña Clara Ambite, Juan Antonio Morera, D. Josef Sala y Cam, D. Ig nacio de Arellana, D. Francisco Bolart y Goma, D. Josef Bruquera y Castell, Don Francisco Argel é hijos, y D. Lorenzo Carballo de Ledesma, para que en el preciso y perentorio término de 30 dias, contados desde la publicación de este aviso, com parezcan…</t>
  </si>
  <si>
    <t>Cam, Manuel</t>
  </si>
  <si>
    <t>Manuel Cam</t>
  </si>
  <si>
    <t>…so se dispersasen, seguimos tras las gavillas por los pueblos del Rincón hasta la hacienda de los Tanques, donde unidos los re beldes trataron de hacer alguna resistencia; pero el capitán D. Manuel Cam pos los desalojó de aquel puntoy habiendo oscurecido ya, cesaron nues tras operaciones aquel dia, quedándonos á dormir frente á los tanques de la hacienda de S. Gerónimo. „A1 siguiente dia i.° marchamos á Xalpa. „E1 2 contramarchamos' en trozos por los cerros…</t>
  </si>
  <si>
    <t>Caminero, Francisco de Paula</t>
  </si>
  <si>
    <t>Francisco de Paula Caminero</t>
  </si>
  <si>
    <t>9o4Excmo. Sr.: Acabo de recibir el adjunto oficio de! teniente coronel Don Francisco de Paula Caminero, en que consta la toma del Chiquihuite y puente de Atoyac por las tropas al cargo del coronel D. Francisco Hevia; y luego que llegue á mis manos el parte circunstanciado de este gefe lo ele varé á V. E- sin perder momento, como el que ahora remito para su sup…</t>
  </si>
  <si>
    <t>Campbell</t>
  </si>
  <si>
    <t>…e la embajada. Habiendo estado detenida la fragata algún tiempo , el General Heivit levó el ancla para ir á fondear mas abajo. El almirante chino , temiendo por su cabeza, rogó al capitán Campbell que se detuviese siquiera 24 horas , á lo cual accedió, si no para complacer al almi rante chino, por lo menos para evitar de su parte los obstáculos que pudieran impedir ei buen éxito de la embajada. Ignoramos hasta qué punto puedan ha ber perjudicado las ho…</t>
  </si>
  <si>
    <t>…ín, y al instan te dio la vela para cruzar en la costa. Se ha recibido noticia de la muerte del mayor Peddie, encargado del víage al interior de Africa para reconocer el Niger. El teniente Campbell ha tomado el mando de la expedición, y se disponía á seguir las instrucciones que tenia el mayor. FRANCIA. Parts 28 de Marzo. Todo está en movimiento en el ala derecha del egérerto de ocupación, para ponerse en marcha los diferentes cuerpos de tropas aliadas…</t>
  </si>
  <si>
    <t>…dió la vela el 27 de Julio para hacer una intimación semejante á Cristóbal. Se dice que este último ha maltratado mucho las propiedades de los ciudadanos de los Estados-Unidos. El capitán Campbell, comandante de la expedición destinada-a recono cer el interior de Africa, murió á mediados de Junio en Sierra-Leona de sen timiento , según dicen algunos* por no haber podido verificar su empresa. El segundo comandante, restablecido de una enfermedad que le…</t>
  </si>
  <si>
    <t>Campo, Benito</t>
  </si>
  <si>
    <t>Benito Campo</t>
  </si>
  <si>
    <t>…zgasti el tercero: en la de álgebra D. Juan Fuertes el primero, y D. Henrique Salazar el segundo: en la de aritmética el tercero D. Manuel Velasco : en la de dibujo y arquitectura D. Benito Campo el primero, D. Ramón Garrido el segundo, y D. Amtonio Msnglano el tercero; y á Lorenzo lbañez, cabo del regimiento de caballería del Infan te, por el buen desempeño de su examen con respecto al corto tiempo de estudio que ha tenido, le agraciaron con una caja…</t>
  </si>
  <si>
    <t>Campo, Josef Félix del</t>
  </si>
  <si>
    <t>Josef Félix del Campo</t>
  </si>
  <si>
    <t>…debidamente, dis tinguiéndose entre estos D. Pedro Serra y D. Eugenio Calderón en su cla.. se de mayores de gramática latina; D. Leonardo y D Francisco Gómez -en -la de medianos; D. Josef Félix del Campo, D. Josef Gallo, D. Juan Ca no y D. Pedro Capillas en la de menores ¿ D. Adrián Coilantes y Ramón</t>
  </si>
  <si>
    <t>Campo, Josef Mariano</t>
  </si>
  <si>
    <t>Josef Mariano Campo</t>
  </si>
  <si>
    <t>…Miguel Añon, el cadete D. Francisco Rodríguez, idem D. Juan La gos, idem D. Lope Urriza, del regimiento fijo. El subteniente D. Juan Mo rilla, de la partida de España. El alférez D. Josef Mariano Campo, el ca dete D. Bernardo Franco, idem D. Josef Zacarías Puente, de lanceros. El alférez D. Joaquin Nuñez, de húsares. El alférez D. Antonio Romero, el agregado D. Julián Montero, de realistas del Puente. Campo de Boquilla de Piedra 28 deNoviembre de 1816. = Jo…</t>
  </si>
  <si>
    <t>Campo, Luis Antonio del</t>
  </si>
  <si>
    <t>Luis Antonio del Campo</t>
  </si>
  <si>
    <t>…instrucción y enseñanza pública, ansioso de enterarse por sí mis mo del estado de instrucción en que se hallaba toda la juventud, y animado del zelo de su corregidor y presidente D. Luis Antonio del Campo, acordó celebrar los dias de S. M. y nuestro augusto Soberano el Sr. D. Fernando vi i con certámenes públicos en los rudimentos de leer , escribir , aritmética y gra mática latina. Habiéndose reunido al efecto en las casas consistoriales con asistencia del cl…</t>
  </si>
  <si>
    <t>Campo, Tomas Antonio del</t>
  </si>
  <si>
    <t>Tomas Antonio del Campo</t>
  </si>
  <si>
    <t>…que se celebrará pasado el mes de Junio del año inmediato de 1818. Los aspirantes al premio deberán presentar sus discursos francos de porte al secretario de academias del colegio D. Tomas Antonio del Campo antes del dia i.° de Mayo de dicho año, los cuales deberán estar sin tirma, y en su lugar,ó al principio de ellos,deberán llevar un epígrafe,el cual se pondrá igualmente en el sobre de un pliego cerrado que debe entregarse juntamente, y en el que esté el nomb…</t>
  </si>
  <si>
    <t>Campomanes, Domingo Fernandez de</t>
  </si>
  <si>
    <t>Domingo Fernandez de Campomanes</t>
  </si>
  <si>
    <t>…da en esta capital celebró exámenes públicos de los niños de sus escuelas gratuitas en los dias 8 y si guientes hasta el 29 del mes de Junio último. En el primero su presidente el Sr. D. Domingo Fernandez de Campomanes, ministro del Consejo Rea!, y gobernador de la Sala de alcaldes, hizo la apertura con un breve y enérgico discurso , en el cual después de haber expuesto la necesidad de la educación, hizo presente la utilidad de estos egercicios, tanto por el desembarazo y e…</t>
  </si>
  <si>
    <t>Campos, Manuel</t>
  </si>
  <si>
    <t>Manuel Campos</t>
  </si>
  <si>
    <t>…ría Máxima y las criadas, á quienes el Excmo. Sr. virey concedió el uso de una cinta blanca con cantos de color de oro. EJ 21 del mismo Octubre marchó en auxilio de este pueblo el capitán D. Manuel Campos, quien hallando á los rebeldes en número de 400, los atacó y dispersó , quitándoles 103 caballos y todos los robos que habían he cho. A los que se defendieron en Juchipila les fue concedido un escudo con el lema: defensores de Juchipila, y á los que derrotaro…</t>
  </si>
  <si>
    <t>…cmo. Sr.: Cumpliendo con las órdenes de V. E. vine á este pun to el 19 del pasado Noviembre, y en el mismo dia lo hizo igualmente el capitán comandante de la división de Zacatecas D. Manuel Campos y 80 hombres de caballería de Lagos. A las tres de la mañana del siguiente dia nos pusimos en marcha para el Comedero, adelantándonos el capitán Cam pos y yo con la caballería para sorprender al rebelde HermosiLlo, que dia riamente bajaba de los cerros,, dond…</t>
  </si>
  <si>
    <t>…ación de los partes de Nueva-España. Del brigadier y comandante D. Josef de Gayangos. „Excmo. Sr.: Original acompaño á V. E. el parte que desde la villa de Lagos me ha dirigido el capitán D. Manuel Campos, comandante acci dental de la división volante de esta provincia, por el que se enterará V. E. de la sorpresa que dispuso contra una partida de rebeldes mandada por el titulado capitán Serafín Barrientos, que con» otros 7 fueron hechos prisione ros , con los…</t>
  </si>
  <si>
    <t>Campuzano</t>
  </si>
  <si>
    <t>1167</t>
  </si>
  <si>
    <t>…lord vizconde Castlerengh, como ministro de Negocios extrangeros. S. E. tuvo una audiencia particular con S- A. R. el Príncipe. Regente, en que presentó sus credencia les----- El caballero Campuzano y otros individuos de la embajada fueron presentados sucesivamente al Príncipe Regente, según los destinos que ocu pan en ella. En seguida fue presentado el barón de Humboldt, embajidor de Prusia, por el mismo lord, y en audiencia privada entregó sus credenci…</t>
  </si>
  <si>
    <t>Campuzano, Francisco María</t>
  </si>
  <si>
    <t>Francisco María Campuzano</t>
  </si>
  <si>
    <t>…número de almas que la componen tkc. El 14 del mismo tuvieron la honra de felicitar á SS. MM. y AA. por su augusto enlace , en nombre de la ciudad de Sto. Domingo de la Calzada , Don Francisco María Campuzano, regidor perpetuo de ella; D. Joaquín de Cam^ puzano, oficial de la primera secretaría de Estado, y D. Leandro de Ocio, de la de Marina; el primero de los cuales dijo lo siguiente: ,, Señor: La ciudad de Sto. Domingo de la Calzada, egemplo siempre de sumisión…</t>
  </si>
  <si>
    <t>Cañal, Domingo</t>
  </si>
  <si>
    <t>Domingo Cañal</t>
  </si>
  <si>
    <t>…cha cantidad; en la inteligencia que pasado dicho término sin haber comparecido se procederá á dar á la referida suma la aplicación que previenen las leyes. i * Habiendo fallecido D. Domingo Cañal en la ciudad de Veracruz: el dia 27 de Febrero de 1792 , resultó por su testamento haber sido casado en la ciudad de Cá diz con Doña María de Mesa, dejando por herederos á sus hijos D. Manuel, Doña Antonia y Doña Rita Cañal; y respecto á que estos interesados…</t>
  </si>
  <si>
    <t>Canalizo, Juan</t>
  </si>
  <si>
    <t>Juan Canalizo</t>
  </si>
  <si>
    <t>…cendiar y robar , lo que conseguirían hasta su fin , si no hubiera determinado saliesen cinco partidas, la una por el sur, al mando del capitán de Celaya D. Agus tín Barros con el teniente D. Juan Canalizo y 30 infantes, por el norte al subteniente D. Josef María García con 20, por el oriente al subteniente Don Vicente Canalizo con 8 , por el poniente al teniente D. Manuel de Ja Llata con D. Manuel y D. Miguel Vázquez, 10 de los realistas de estos y 5 dragones…</t>
  </si>
  <si>
    <t>Canalizo, Vicente</t>
  </si>
  <si>
    <t>Vicente Canalizo</t>
  </si>
  <si>
    <t>…do del capitán de Celaya D. Agus tín Barros con el teniente D. Juan Canalizo y 30 infantes, por el norte al subteniente D. Josef María García con 20, por el oriente al subteniente Don Vicente Canalizo con 8 , por el poniente al teniente D. Manuel de Ja Llata con D. Manuel y D. Miguel Vázquez, 10 de los realistas de estos y 5 dragones del Príncipe, y por el nordeste al portaguión del Príncipe D. Manuel Perez de León con 6 dragones de su cuerpo. Estas partid…</t>
  </si>
  <si>
    <t>Cañas, Manuel</t>
  </si>
  <si>
    <t>Manuel Cañas</t>
  </si>
  <si>
    <t>…n lugar muy distinguido entre los de aquellos que han seguido el sendero de la glo ria, y recomiendo sus familias á la piedad y munificencia del Rey; asi como al teniente de navio D. Manuel Cañas, y al alférez de fragata D. Juan Gavaso, por los importantes servicios que han contraído, y la actividad y ener gía que tan oportunamente han desplegado.” Posteriormente ha recibido dicho Sr. secretario del Despacho el boletín del egercito expedicionario, núm…</t>
  </si>
  <si>
    <t>…ra las bayonetas de S. M. , y ha tenido que desaparecer del mar, huyendo de la escuadrilla que se formó en aquellos mares, debida á la actividad infa tigable del teniente de navio D. Manuel Cañas, y del alférez de fragata Don Juan Gavaso , segundados por las medidas enérgicas del interino capitán ge neral el brigadier D. Salvador Moxó , que con asombro de todos ha encon trado buques , hombres , pertrechos y dinero donde menos debía esperarse, y de est…</t>
  </si>
  <si>
    <t>Cándido</t>
  </si>
  <si>
    <t>…, D. Tomas Perez, D. Blas Cadenas, Don Juan García, D. Manuel Ribera, D. Máximo y D. Joaquín Vargas, Don Felipe Crespo, D. Francisco Canillas, D. Pedro Miguel, D. Genaro Sal gado, D. Cándido de la Fuente , D. Josef García Vázquez , D. Aquilino Lu nar, D. Pedro Gómez, D. Celedonio Casado, D. Vicente Berdion , Don Joa quín Lumeras, D. Tomas Asensio, D. Mateo Rodriguez, D. Valentín Ga veta, D. Pedro Martin, D. Antonio Fernandez, D. Andrés Redondo, D…</t>
  </si>
  <si>
    <t>Candolle</t>
  </si>
  <si>
    <t>248</t>
  </si>
  <si>
    <t>…a. El 22 de Enero se acabó de descubrir un templo magnífico, en medio del cual había varias estatuas de mármol de formas colosales. Una de ellas tiene 20 ó 22 palmos de altura. El profesor Candolle,de Ginebra, ha recibido de un botánico de México una colección de dibujos de 2® plantas desconocidas hasta ahora. El 24 de Enero murió en Roma á los 107 años de edad Rosa Patriccelli, viuda , natural de Benevento, la cual conservó hasta el último momento el u…</t>
  </si>
  <si>
    <t>Cándolle</t>
  </si>
  <si>
    <t>…Mr. Meyer, farmacéutico de St. Gall, leyó,otra sobre el modo de preparar en la Suiza oriental las bombas de vapor; el profesor Meisner otra sobre los huesos fósiles en Suiza ; el catedrático Cándolle sobre la geografía de las plan tas; el director de minas Lardy sobre las capas de yeso del Valais y del Tessino; el catedrático Studer sobre una especie particular de piedras halla das en Gemmi; Mr. Deluc sobre la forma exterior de una parte de las altas mont…</t>
  </si>
  <si>
    <t>Candon, Josef María</t>
  </si>
  <si>
    <t>Josef María Candon</t>
  </si>
  <si>
    <t>…inmediacio nes de la hacienda de Charcas, habiendo logrado el primero sorprender al hermano y cuñado del cabecilla Tovar, con otros tres rebeldes; y el segun do al que se nombraba capitán Josef María Candon, cogiéndoles ademas las armas y caballos que expresa uno de dichos partes , y presentándose á la Real gracia del indulto los individuos contenidos en la lista que también re fiere, y remito á V. E. igualmente 3 sin dejar de recomendar á su superiori dad muy p…</t>
  </si>
  <si>
    <t>Cañedo, Joaquín</t>
  </si>
  <si>
    <t>Joaquín Cañedo</t>
  </si>
  <si>
    <t>…a de su diócesis, quiso también repartir con su propia mano estas honoríficas dis tinciones del saber y de la aplicación , colocándolas en el pecho de los si guientes beneméritos: D. Joaquín Cañedo, D. Bernardo García, D. Bernar do Cadenas, D. Agustín Bermejo, D. Tomas Perez, D. Blas Cadenas, Don Juan García, D. Manuel Ribera, D. Máximo y D. Joaquín Vargas, Don Felipe Crespo, D. Francisco Canillas, D. Pedro Miguel, D. Genaro Sal gado, D. Cándido de la F…</t>
  </si>
  <si>
    <t>Canillas, Francisco</t>
  </si>
  <si>
    <t>Francisco Canillas</t>
  </si>
  <si>
    <t>…D. Bernardo García, D. Bernar do Cadenas, D. Agustín Bermejo, D. Tomas Perez, D. Blas Cadenas, Don Juan García, D. Manuel Ribera, D. Máximo y D. Joaquín Vargas, Don Felipe Crespo, D. Francisco Canillas, D. Pedro Miguel, D. Genaro Sal gado, D. Cándido de la Fuente , D. Josef García Vázquez , D. Aquilino Lu nar, D. Pedro Gómez, D. Celedonio Casado, D. Vicente Berdion , Don Joa quín Lumeras, D. Tomas Asensio, D. Mateo Rodriguez, D. Valentín Ga veta, D. Pedro M…</t>
  </si>
  <si>
    <t>Canle, Salvador</t>
  </si>
  <si>
    <t>Salvador Canle</t>
  </si>
  <si>
    <t>…dministrador de correos de Soria D. Juan Gutiérrez; el sargento mayor retirado de Voluntarios distinguidos de aquella ciudad D. Josef María Malpica, y el teniente coronel retirado D. Salvador Canle; de los cuales el pri mero dijo entre otras cosas lo siguiente: „Señor: Si las Asturias en el siglo vm tuvieron por su localidad y el valor de sus naturales la gloria de no haber sido holladas de los sarracenos, la Real ciudad de S. Fernando, no menos feliz y…</t>
  </si>
  <si>
    <t>Cano, León de Ja Cámara</t>
  </si>
  <si>
    <t>León de Ja Cámara Cano</t>
  </si>
  <si>
    <t>Gaceta de Madrid n.º 50</t>
  </si>
  <si>
    <t>440</t>
  </si>
  <si>
    <t>…de la manz. 554, tasada en 19056 rs.; y está hecha postura en lá misma cantidad, siendo por cuenta del postor los gastos que se originen. Quien quisiere hacer mejora acuda ante el Sr. D. León de Ja Cámara Cano, del Consejo de S. M. en el supremo de Hacienda, teniente corre gidor de esta villa , por la escribanía de su número que egerce D. Juan Raya; y es tá señalado para el remate el dia 6 de Mayo próximo á la una en la puerta de la audiencia del mismo señor. D. Ma…</t>
  </si>
  <si>
    <t>Cano, Pedro</t>
  </si>
  <si>
    <t>Pedro Cano</t>
  </si>
  <si>
    <t>…ayor que era de la ciudad de A /amon te : para la de Rivadavia á D. Joaquín Hernández : para la de S. Pedro Man rique á D. Antonio Zapatero y Pomar: para la de Herrera del Duque á Don Pedro Cano, alcaide mayor que era de Siruela; y para la de Quintaniiia de Sumuño á D. Gabriel Gutiérrez. En la gaceta núm. 155 del sábado 14 de Diciembre de 1816 se publico en artículo de oficio el siguiente aviso ministerial: ,, F1 Rey se ha dignado conceder á la comun…</t>
  </si>
  <si>
    <t>Cánovas, Gines</t>
  </si>
  <si>
    <t>Gines Cánovas</t>
  </si>
  <si>
    <t>…de la Muda, subteniente del regimiento de infantería de Africa: la primera de la de Rosas á D. Francisco Dicroh, alférez de dragones de la Reina : la segun da de la misma plaza á D. Gines Cánovas, sargento primero de dragones de Almansa; y la segunda de la plaza de Lérida á D. Josef María Faura, alférez del regimiento de caballería de Farnesio. En América. La subinspeccion general de las tropas del reino de Goatemala al brigadier D. Antonio Gaspar Bla…</t>
  </si>
  <si>
    <t>Canterac</t>
  </si>
  <si>
    <t>…manifes tado conocimientos, valor y atrevimiento en la toma de los fuertes. Igual mente hace mención honorífica de los tenientes D. Jacobo Jones y D. Josef Caparros, ayudantes del brigadier Canterac, los cuales comunicaron las ór denes en medio de los mayores peligros. EGERCITO EXPEDICIONARIO. Estado de los muertos y heridos que tuvo este egército desde su desembar~ co en la isla Margarita hasta la toma de Pampatar. Heridos. Muertos. Total. Oficia Oficia…</t>
  </si>
  <si>
    <t>…ente Zaraza y la balandra la Aurora.Esta , que estaba perfectamente armada, fue tomada al abordage por el bizarro teniente D. Josef Guerrero, que mandaba la fle chera Voladora. El brigadier Canterac elogia á este distinguido oficial, á quien recomienda particularmente. Tomadas todas ks disposiciones para la ocupación de la isla Margarita,</t>
  </si>
  <si>
    <t>…e puso en movimiento la columna de cazadores, y rompió el fuego sobre los enemigos, marchando por el centro del bosque. Cuatro compañías de Navarra siguieron por la derecha con el brigadier Canterac, venciendo los obstáculos que se presentaban. El general en gefe con parte del batallón de Burgos siguió el movimiento de los cazadores, enviando algunos destacamentos por la izquier da , que era el punto donde presentaban menos fuerzas los enemigos, y en bre…</t>
  </si>
  <si>
    <t>…teniente coronel D. León Ortega se distinguieron por su extraordina ria actividad en comunicar las órdenes, hallándose ambos desmontados. El capitán D. Josef Bedoya, ayudante del brigadier Canterac, corrió varias veces á las cabezas de las columnas animando con su egemplo á cuantos presencia ron su arrojo bajo el fuego de los enemigos. A las acertadas disposiciones, bi zarría y serenidad del coronel D. Juan. Francisco Mendivil , que mandó la</t>
  </si>
  <si>
    <t>Canterac, Josef</t>
  </si>
  <si>
    <t>Josef Canterac</t>
  </si>
  <si>
    <t>…de Burgos D. Juan de la Cruz Osores, que fueron heridos: Vara y Villa á pesar de sus heridas con tinuaron en la acción; y al teniente de cazadores de Burgos D. Manuel Martinez. El brigadier D. Josef Canterac ha manifestado á la cabeza de su columna el brío y valor que le distingue, debiéndose á su acertado movimiento y á la rapidez con que llevó los enemigos por delante la total dispersión y fuga de ellos. Los ayudantes de campo del general en gefe coronel D. Man…</t>
  </si>
  <si>
    <t>…sembarco que para continuar él plan concertado de abordar y ocupar á Margarita , hicieron en la parte oc cidental de Coche, cerca de 4® hombres con el general D. Pablo Morillo, el brigadier D. Josef Canterac y el coronel D. Juan Aldama; ademas de lo cual continuando siempre en sus movimientos , y en el trasporte de víveres y per trechos auxilió eficazmente al egército en sus operaciones, rechazando y ba tiendo á Jos rebeldes en diferentes puntos de la aosta de aq…</t>
  </si>
  <si>
    <t>Canteras</t>
  </si>
  <si>
    <t>…nto dicho general en gefe siguiendo el camino de Porlamar se situó en disposición de rodear los fuertes del Calvario, de Oste riz y trincheras colaterales, habiendo comisionado al brigadier Canteras para que practicase un reconocimiento con las compañías de cazadores, mientras las flecheras y obuseras, mandadas por el teniente de fragata D. Andrés de Tosta, hacían un fuego vivísimo sobre todas las defensas de los rebeldes, los cuales contestaron arboland…</t>
  </si>
  <si>
    <t>Canto, Rafael del</t>
  </si>
  <si>
    <t>Rafael del Canto</t>
  </si>
  <si>
    <t>…pues en el hecho solo se deja ver que le adornan todas las circunstancias de un verdadero oficial; pero este me recomienda mucho el valor y decisión del cadete de su mismo cuerpo D. Rafael del Canto, el que con sable en mano cargó sobre los rebeldes, dando muerte á uno é hiriendo dos, persiguiendo á los demas con toda aquella sangre fria y precaución que se requiere, cuando con tan poco número de soldados se bate una gavilla tan superior á él. ,,Los pris…</t>
  </si>
  <si>
    <t>Canuel</t>
  </si>
  <si>
    <t>…ar las cuadrillas, que apenas tuvieron tiempo para formarse. Los leoneses y la Francia toda reconocen lo mucho que han debido en esta ocasión á la firmeza y actividad del teniente general Canuel, quien ha salvado á los culpables de sus propios excesos, y asegu rado el triunfo de la causa Real contra unas empresas insensatas y crimi nales. Valenzot, condenado á muerte por el tribunal de prebostes de León, fue ajusticiado el 20 en el mismo campo del pu…</t>
  </si>
  <si>
    <t>Caparros, Juan Julián</t>
  </si>
  <si>
    <t>Juan Julián Caparros</t>
  </si>
  <si>
    <t>…tro tomitos manuables, á 8 rs. cada uno en papel. Se vende separado el cuarto tomo que contiene las misas de la cuaresma y semana santa. _ Adiciones al Año cristiano ilustrado por D. Juan Julián Caparros, que contienen todas las que se han añadido en Ja última edición. Se hallarán en las librerías de Calleja y Viliareal, calle de las Carretas , y en la de Ranz, calle de la Cruz. EN LA IMPRENTA REAL.</t>
  </si>
  <si>
    <t>Capdeviia, Josef</t>
  </si>
  <si>
    <t>Josef Capdeviia</t>
  </si>
  <si>
    <t>…ña Elena Doria, calle de Mira el Rio, núm. 5 ; á D. Josef Ciavijo y Alba, calle de Capellanes, núm. 3 , y en .Barcelona á D. Antonio S. Germán , catedrático de cirugía médica, ó á D. Josef Capdeviia, cirujano del Real cuerpo de Ar tillería. Se halla vacante la plaza de médico de la villa de la Membrillar en la Mancha baja, y cuya población es de 800 vecinos: su dotación consiste en 900 ducados, pagados por la justicia con la mayor puntualidad, y por terc…</t>
  </si>
  <si>
    <t>Capdevila, Luis</t>
  </si>
  <si>
    <t>Luis Capdevila</t>
  </si>
  <si>
    <t>…ez y expresada escribanía, pues de no hacerlo les para rá el perjuicio que haya lugar, y su producto se repartirá entre los que se han pre sentado. . Se desea saber el paradero de D. Luis Capdevila, que se separo de esta corte al principio de la revolución, y en el año de 812 servia á las órdenes del general Obispo; y se suplica á la persona que pueda dar alguna noticia lo haga en Madrid á Doña Elena Doria, calle de Mira el Rio, núm. 5 ; á D. Josef Ciav…</t>
  </si>
  <si>
    <t>Capellen</t>
  </si>
  <si>
    <t>…os buques que viencji de Madera ó han tocado en sus puertos. El vice-altnirame Van Braam va á reemplazar en el mando de la escua dra de ios Paises-Bajos en el Mediterráneo al vice-almirante Capellen. Idem y. El Gobierno ha mandado construir una nueva fortaleza cerca de Utrecht para defensa de aquella ciudad, y atender á la limpia y reparo de los cana les nombrados Krommen, R'nin y Minne.—«.También ha mandado hacer un cuartel de caballería y otros estable…</t>
  </si>
  <si>
    <t>Capellen, Van-</t>
  </si>
  <si>
    <t>Van- Capellen</t>
  </si>
  <si>
    <t>…necina debe esperar en las Dunas pliegos para el Bey de Túnez, en que se repite la misma declaración. PAISES-BAJO S-U NIDOS. Brusélas i.° de Junio, La escuadra que manda el contra-almirante Van- Capellen en el Medi terráneo se ha dirigido á Túnez. Parece que reina la mayor tranquilidad en Argel, adonde han llegado las dos corbetas que el Gran Señor envió de re galo al Dcy; pero la fragata que dio al mismo tiempo la vela en el puerto de Constantinopla, y en la…</t>
  </si>
  <si>
    <t>Capeller</t>
  </si>
  <si>
    <t>…idor de Vaucouleurs dándole gracias por lo bien que se haoian portado los vecinos de aquella ciudad con sus tropas, y por el sable que regaló en nombre del ve cindario al teniente coronel Capeller, en reconocimiento de la buena con ducta que habían observado allí las tropas prusianas. París 26 de Mayo, Escriben de Colmar con fecha de 8 de Mayo que el conde de Casteja, prefecto del Alto-Rhin, había recibido del ministro del Interior un oficio prometiénd…</t>
  </si>
  <si>
    <t>Capilla, Vicente</t>
  </si>
  <si>
    <t>Vicente Capilla</t>
  </si>
  <si>
    <t>…s de S. Felipe. Colección de láminas que representan las estaciones del devoto egercicio de la vía sacra, dibujadas por D, Josef Camarón, pintor de cámara de S. M., y grabadas por D. Vicente Capilla, teniente director de la Real academia de S. Carlos de Va lencia. Se hallarán en la librería de la viuda de Quiroga, calle de las Carretas, y en Valencia en la tienda del Pozal, plaza del Mercado, á 16 rs. En el almacén de música y papel rayado en la carrera…</t>
  </si>
  <si>
    <t>Capillas, Pedro</t>
  </si>
  <si>
    <t>Pedro Capillas</t>
  </si>
  <si>
    <t>…y D. Eugenio Calderón en su cla.. se de mayores de gramática latina; D. Leonardo y D Francisco Gómez -en -la de medianos; D. Josef Félix del Campo, D. Josef Gallo, D. Juan Ca no y D. Pedro Capillas en la de menores ¿ D. Adrián Coilantes y Ramón</t>
  </si>
  <si>
    <t>Capitán</t>
  </si>
  <si>
    <t>…de este dia. Puede asegurarse que fue dia de júbilo para Valladolid, y para los cole giales de ia satisfacción mas completa por las pruebas de aprecio que han re cibido. El Exemo. Sr. Capitán general, el limo. Sr. obispo, el señor regente de la Real chancillería , el señor intendente de este egército y reino, los se ñores generales que hay en esta ciudad , los cuerpos eclesiásticos, civiles, mi litares y literarios, las comunidades religiosas, los…</t>
  </si>
  <si>
    <t>…uará haciendo feliz la monarquía.” S. M. se mostró agradecido con su benignidad característica á tan leales sentimientos. ARTICULO DE OFICIO. Circular del Ministerio de Querrá. Al Sr. Capitán general de Cataluña digo con esta fecha lo siguiente: „ Conformándose el Rey nuestro Señor con el parecer del Consejo Supre mo de la Guerra en la sumaria formada en Cataluña á instancia de D. Anto nio Vileila, subteniente del extinguido tercio de Miqueletes d…</t>
  </si>
  <si>
    <t>…arrama, Colme nar viejo, Valdemorillo , Navalcarnero, Valdemoro , Vallecas , AlcobendaS y Torrejon de Ardoz. Para evitar que en lo sucesivo se repitan se ha forma do por el Excmo. Sr. Capitán general de esta Provincia una instrucción para los Comandantes de dichas partidas, y otra para las Justicias de los pueblos» á fin de que procediendo de común acuerdo unos y otros pueda hacerse me jor este servicio; de que enterada la Sala ha acordado se prev…</t>
  </si>
  <si>
    <t>Capo</t>
  </si>
  <si>
    <t>…fundamento de tantos males que están, desde un siglo á esta parte, afligiendo y trastornando á la Europa. El testimonio á que se alude arriba es la siguiente carta dirigida por el conde Capo d’Istria á un hombre de letras francés. Petersburgo gi de Marzo de 1817. Muy señor mió: el Emperador se ha enterado de la propuesta que vmd. hace á S. M. sobre la compra de un manuscrito que contiene muchas cartas originales de Voltaire&gt;de Delille, de Salles…</t>
  </si>
  <si>
    <t>Capulino, Francisco</t>
  </si>
  <si>
    <t>Francisco Capulino</t>
  </si>
  <si>
    <t>…g nos del aplauso y de que se Ies adjudícase el premio D.Pedro Pacheco, Don Josef Iglesia , D. Josef Cala, D. Josef Adan, D. Manuel Huertas, D. Tosef Ro mero, D. Josef Villanueva, D. Francisco Capulino, D. Juan Romero, D. Vicente Brete, D. Nicolás Moreno, y entre estos muy en particular Don Josef Cotera, que entrando en esta academia á la edad de seis años sin cono cer el alfabeto, y contando al presente solos ocho, mereció en estas tareas un lugar distingu…</t>
  </si>
  <si>
    <t>Car</t>
  </si>
  <si>
    <t>dro se enseñase la historia literaria por la del mismo. Siguiendo el Sr. D. Car los iv las ideas de su Padre le añadió otra pensión para su mayor alivio y des canso: el Emperador de Alemania Josef n , luego que llegó á Mantua , tuvo la donación de ir á visitarle. En los dias queen 1785 permaneció el P. Andrés en Florencia, debió singular…</t>
  </si>
  <si>
    <t>…dos se haga constar la licencia Real ó de sus gefes, y la paterna, ó la resolución del tribunal de ser irracional el disenso: que en 31 de Agosto de 1801 no tuvo á bien acceder el Sr. D. Car los iv á otra solicitud igual del antecesor de V. Erna, por los mayores per juicios que la innovación de las reglas establecidas produciría al bien del ser vicio y al particular de las familias, disponiendo que no solo se guardasen inviolablemente aquellas, y…</t>
  </si>
  <si>
    <t>…rado en esta ciudad el 14 del pa sado , se acordaron tres dias de regocijo,colgaduras é iluminaciones en celebri dad de los augustos esponsales del Rey nuestro Señor y del Infante D. Car los , siguiendo en esto el egemplo de esa capital, y cediendo á los deseos de este honrado vecindario. Convine con el cura vicario que el primer día se cantase un solemne Te Deum, y en seguida recibí corte, decorados ambos actos con la asistencia de todos los…</t>
  </si>
  <si>
    <t>Car, Manuel de</t>
  </si>
  <si>
    <t>Manuel de Car</t>
  </si>
  <si>
    <t>…ligencia de que pasados sin haber comparecido, se procederá al otor gamiento de 1a escritura y á lo demás que haya lugar. En el Consejo Real, y su escribanía de cámara al cargo de D. Manuel de Car ranza, se sigue pleito entre el duque de Canzano, vecino de la corte de Ñapóles, y los marqueses de la Rambla, Viilafranca de Ebro, Campoverde, Alcocebar, Quintanar, Castromonte, y D. Joaquín Garcés de Marcilla, sobre la propiedad de los estados y grandeza de…</t>
  </si>
  <si>
    <t>Caracciolo, Josef Ferreti y</t>
  </si>
  <si>
    <t>Josef Ferreti y Caracciolo</t>
  </si>
  <si>
    <t>…o de S. M., alcalde de su Real casa y corte, de 22 de Noviembre último, refrendada del escri bano de provincia D. Valdomero Moraleda, ante quien está radicada la testamenta ría de D. Josef Ferreti y Caracciolo, y á la que solo pertenece una casa sita en esta villa, calle del Conde Duque, núm. 3 , manz. 538, de la que es administrador ju dicial D. Manuel de Pando, vecino y del comercio de la misma, á cuya instancia y solicitud, y la del curador ad litem del hijo men…</t>
  </si>
  <si>
    <t>Caray, Martin de</t>
  </si>
  <si>
    <t>Martin de Caray</t>
  </si>
  <si>
    <t>' 95® udo s D. Francisco Eguia, secretario de Estado y del despacho de la Gaerra¡ D. Martin de Caray, secretario de Estado y del despacho de Hacienda; duque de S. Fernando, presidente del Consejo de las Ordenes; al marques de Sotomayor, primer caballerizo de S. M.; D. Eusebio Bardaxí y Azara, embajador cerca del Rey de Cerdeña; D. Cristóbal Bencomo, confesor…</t>
  </si>
  <si>
    <t>Cárdenas, JosefEduardo de</t>
  </si>
  <si>
    <t>JosefEduardo de Cárdenas</t>
  </si>
  <si>
    <t>…unduacéin de Tabasco. En el pueblo de Cunduacan de Tabasco á 25 de Setiembre de 1815: Yo el administrador de justicia del distrito D. Manuel Sastre, reunido con el se ñor cura Dr. D. JosefEduardo de Cárdenas en la casa de su morada, los dos vecinos honrados capitán retirado D. Domingo Barroso, y el teniente de realistas D. Francisco Quiroga y el diputado D. Josef Anselmo Rizo y Correa , certificamos y damos fe y verdadero testimonio, y en caso necesario lo rubric…</t>
  </si>
  <si>
    <t>Cardona, Juan</t>
  </si>
  <si>
    <t>Juan Cardona</t>
  </si>
  <si>
    <t>…. Sr. Infante D. Cários; del Sr. D. Luis Beltran , consejero en el supremo de la Guerra; de D. Antonio Colomer de Prades, caballero de la Real distinguida orden de Cários ni, y de D. Juan Cardona, guardia de la Persona del Rey , á cumplimentar á S. M. por su verificado enlace con la Reina nuestra Señora Doña Isabel de, Braganza ; pronunciando el ci tado gobernador la siguiente arenga: ,,Señor: El gobernador del partido de Morella, con su diputación ,…</t>
  </si>
  <si>
    <t>Carlos</t>
  </si>
  <si>
    <t>…gentes germánicos en varias cam pañas, cuyo importe asciende á 1.600® florines. El coronel apoyará su so licitud en los contratos y plenos poderes ilimitados, Armados por el Archi duque Carlos, entonces feld-mariscal general: asi es que S. A. I. sostiene las reclamaciones del barón Wimrner, y no se duda aquí de su buen éxito. ITALIA. Poma 79 de Diciembre. Se asegura que se han convertido á la fe católica el Príncipe de SaxoniaGotha, que reside aqui…</t>
  </si>
  <si>
    <t>…iene ojos negros muy vivos. Ambas estaban vesti das con gusto; pero con sencillez. La Reina llevaba un retrato del Rey guar necido de brillantes: la Infanta llevaba el del Infante D. Carlos. ,,Después de haber conversado un rato, añade madama Grant, entraron á avisar que estaba pronto el coche. La Reina me alargó la mano , y pene trada yo de agradecimiento por tanta bondad, la dije: Señora, Dios colme á V. M. de felicidad para que haga dichoso á…</t>
  </si>
  <si>
    <t>Cárlos</t>
  </si>
  <si>
    <t>…de la alegría y de las virtudes que los constituyen verdaderamente ilustres , respetables y felices.” En seguida pasaron los mismos comisionados á felicitar al Sermo. Sr. In fante D. Cárlos con igual motivo. Real lotería moderna. En el sorteo de la Real lotería moderna celebrado el dia 22 del corriente salieron sorteados con los premios mayores los números siguientes: Números. Premios, Administraciones. 5069, 10000 pesos........... En Madrid. *5…</t>
  </si>
  <si>
    <t>…nínsula que se hallen en este estado puedan valerse del expre sado visitador general de tintes, á quien por sus sobresalientes conccimienros en este ramo cbncedió aquel destino ei Sr. D. Carlos m ; y por el de tejidos de punto ingles mereció también que los Señores Reyes Padres le honrasen con el título de fabricante de la Real Casa y Cámara , con agregación á su. guardaropa, y por los mismos motivos mereció el que seis Reales socieda des económicas…</t>
  </si>
  <si>
    <t>…hallarán las dos co lecciones de estampas pertenecientes á toda la obra. Física moderna racional y experimental, por el Dr. D. Andrés Piqucr, médico de cámara que fue de S. M. el Sr. D. Carlos m. En esta obra se hallan propuestos los principios fundamentales de la física experimental, con un método que conduce al entendimiento por grados desde las verdades mas simples hasta las mas compues tas, presentando asi el orden del universo, la armonía de l…</t>
  </si>
  <si>
    <t>…les senti mientos de la ciudad de Lugo siempre me son muy agradables, y los aprecio. Y habiendo besado L. R. P. de SS. MM. pasaron á felicitar á SS. AA. ios Sermos. Sres. Infantes D. Carlos y Doña María Francisca de Asís, quie nes enterados de los sinceros deseos y felicitaciones de aquella ciudad contes taron con el agrado y bondad que ensalzan sus virtudes. El limo. Sr. D. Luis López de Castrillo, obispo de Lorima, y auxiliar de Madrid, al recorrer en el mes de Diciembre úl…</t>
  </si>
  <si>
    <t>147</t>
  </si>
  <si>
    <t>…er sido nombrado de Real orden para asistir al otorgamiento y á la ratificación de las capitulaciones matrimoniales de S. M. con la Reina nuestra Señora y del Sereno. Sr.' Infante D. Cárlos con la Serma. Sra. Infama Doña María Francisca. En todo el discurso de su carrera militar y política dio conti nuadas muestras de ias prendas y virtudes que eran tan propias de su ilustre cuna, y que le merecieron justamente la confianza del Gobierno y el con…</t>
  </si>
  <si>
    <t>…militares ó patriotas que hubieren muerto en defensa de la justa causa de la nación , ha cabido en suerte del primer extracto de la de este dia á Doña María Josefa Vidal, hija de D. Carlos, Capitán de infante ría de América, muerto en el campo del honor. ARTICULO DE OFICIO. JEl Rey nuestro Señor se ha servido expedir por el Ministerio general de Gracia y Justicia el Real decreto siguiente: „ Ha querido la divina Providencia que entre los inmens…</t>
  </si>
  <si>
    <t>…bones sean hasta la consumación de los siglos los Reyes, Soberanos y padres de los es pañoles.” En seguida tuvo la honra el mismo comisionado de felicitar al Sermo. Se ñor Infante D. Cárlos con igual motivo. ARTICULO DE OFICIO. Circular del Consejo Real. El Excmo Sr. D. Martin de Garay, Secretario de Estado y del Despa cho de Hacienda, ha comunicado al Consejo, por medio de su Presidente el Excmo. Sr. Duque del Infantado, la Real orden que dice…</t>
  </si>
  <si>
    <t>277</t>
  </si>
  <si>
    <t>…amada y querida KsrosA la Reina; y 110 pudiendo gozar completamente de la felicidad que me prepara este dia, tanto mas célebre por el dichoso enlace de mi amado y augusto Hermano Don Carlos con la Infanta Doña María Francisca, sin aliviar antes, en cuanto permitan las leyes y la situación del Reino, la suerte de los desgraciados que gimen bajo el peso de sus crímenes: he venido en conceder indulto general á los delincuentes que sean capaces de é…</t>
  </si>
  <si>
    <t>…buenos resultados que S. M. se había propuesto.__ No menos persuadido .de su apritud para cualquier encargo que se fiase á su zelo, aunque fuese ageno de su profesión, se dignó el Sr. D. Cárlos iv á su advenimiento al trono en 1789 nombrarle para que con la escuadra de su mando pasase al puerto de Ñapó les á cumplimentar al Rey de las Dos Sicilias, en prueb; de la armonía que deseaba se afianzase entre los dos augustos Hermanos. No fue frustrada la…</t>
  </si>
  <si>
    <t>422</t>
  </si>
  <si>
    <t>…o la be nevolencia de los Príncipes. Pocos sabios habrá que hayan merecido de tan tos Soberanos iguales demostraciones del alto concepto que habían forma do de su ciencia; pues el Sr. D. Cárlos m, enterado deí extraordinario mérito del P. Andrés, le concedió varias pensiones para que pudiera con tinuar sus trabajos literarios., y'mandó que en los Reales estudios de S. Isi-</t>
  </si>
  <si>
    <t>…contestaciones muy expresivas, mani festándole el mucho aprecio que les ha merecido su obra, y distinguiéndole algunos con condecoraciones y medallas de honor. S. M. el Rey Padre Don Carlos iv le significa la mucha estimación en que tiene su obra de la Fe triunfante i y reconoce en su autor un antiguo, fiel y leal vasallo, que nunca ha dejado de conservar sentimientos de amor y gratitud hacia su augusta Persona y Real Familia. Y nuestro santísim…</t>
  </si>
  <si>
    <t>…cito; pero que se suspendiese la egecucion hasta consultarla á 5. M. por.si tenía á bien determinar le comprendiese la Real orden de 27 de Abril de 1770, por la que tuvo á bien el Sr. D. Cárlos 111 en un caso igual al presente modificar la ordenanza de marina, que también imponía pena de muerte á cualquiera que á bordo ó en tierra hiriese á otro de caso pensado ó alevosamente, conmutándola en la de 10 años de presidio siempre que no jresultase la mu…</t>
  </si>
  <si>
    <t>1000</t>
  </si>
  <si>
    <t>…notar una rica caja de oro guarnecida de brillantes regalada á Mr. Woiff, oficial de la gendarmería de esta capital. ESPAÑA. Cádiz 20 de Agasto. Cuando en el glorioso reinado del Sr. D. Carlos nr se establecieron las sociedades económicas varios vecinos de esta ciudad amantes del bien públi co , persuadidos de la utilidad que de ellas debía necesariamente resultar, pro movieron vigorosamente su establecimiento en varios pueblos del reino, sin que e…</t>
  </si>
  <si>
    <t>…r, quien mereció los mayores elogios de los principales sabios de la Europa por sus excelentes conoci mientos en el arte de curar, y por lo tanto fue nombrado médico de cámara del Sr. D. Carlos m: un tomo en 4.0 de buen papel y letra. Se hallará en la librería de Bailo, calle de las Carretas, á 20 rs. en pasta. Tratado del injerto, en que se explica todo lo correspondiente al arte de injer tar, por D. Claudio Boutelou, director y profesor de agricul…</t>
  </si>
  <si>
    <t>…udiese pasar del estado decadente en que se halla al progresivo de /que es tan digna. En seguida el alumno D. Pablo de Baladía, teniente de infantería en el regimiento del Infante D. Cárlos , disertó sobre la siguiente proposición: Para que una nación pueda acudir á los gastos de la guerra que debe sufrir el pú blico en el estado actual de civilización de la Europa, y hacerla con venta ja, es indispensable que su sistema económico proteja con mu…</t>
  </si>
  <si>
    <t>…o expedir el Real decreto siguiente: ,,Consecuente al indulto que con motivo de mi enlace con mi muy amada y querida Esposa la Reina, y el de mi amado y augusto Hermano el In fame D. Carlos con la Infanta Doña María Francisca de Asís, tuve á bien conceder, por un rasgo de mi Real piedad, en mi Real decreto de 29 de Setiembre del año ultimo de 18ib, á todos los presos del reino que fuesen capaces de él, y en que fue mi Real ánimo fuesen comprendi…</t>
  </si>
  <si>
    <t>…de mi verdadero interes en, que mis di chas Reales intenciones se realicen del modo que me he propuesto, nombro por presidente de ella á mi muy caro y muy amado Hermano eí Infante Don Carlos, quien la convocará cuando lo crea necesario y los fines de su insti tuto lo exijan, y quien como el mas fiel intérprete de mi voluntad sabrá promover todos los medios de que se cumpla. Tendreislo entendido para los efectos convenientes. = Rubricado de la Rea…</t>
  </si>
  <si>
    <t>…Rey de la plaza de la Havana al brigadier D, Diego Uiloa y Vargas; y la ayudantía de la dtl Callao de Lima á D. Nicolás Ximeno, teniente del regimiento de infan tería del Infante D. Carlos, antes Real de Lima. Por Real cédula de 12 del corriente se ha dignado S. M., á consulta del supremo Consejo de las Indias, confirmar al ayuntamiento de la capital de Goaremaia el tratamiento de Excelencia, entera en cuerpo, de palabra y por escrito, en los m…</t>
  </si>
  <si>
    <t>…calidades que le hadan tan digno general como había sido acreditado subalterno. De alli fue llamado á la corte para la junta de generales que se celebraba bajo la presidencia del Sr. D. Carlos iv. Quedó prisionero de guerra por la capitulación de Madrid de 1808, de donde fue conducido á Francia por su amor á la verdad y re ligiosidad á la palabra de honor , que no le permitieron suponer su edad de 6c años, como le aconsejaban, aunque le faltaba poc…</t>
  </si>
  <si>
    <t>Carmona, Josef María</t>
  </si>
  <si>
    <t>Josef María Carmona</t>
  </si>
  <si>
    <t>…acreedores jpor haberse distinguido á la superior recomendación de S. E. El teniente D. Josef María del Toro, el subteniente D. Ignacio Bobadi lla, idem D. Joaquin Arzamendi, Ídem D. Josef María Carmona, el ciru jano D. Miguel Añon, el cadete D. Francisco Rodríguez, idem D. Juan La gos, idem D. Lope Urriza, del regimiento fijo. El subteniente D. Juan Mo rilla, de la partida de España. El alférez D. Josef Mariano Campo, el ca dete D. Bernardo Franco, idem D.…</t>
  </si>
  <si>
    <t>Carmona, Manuel Salvador</t>
  </si>
  <si>
    <t>Manuel Salvador Carmona</t>
  </si>
  <si>
    <t>…ecretario de S. M. con egercicio, y de la interpretación de lenguas: véndese el i.° á 300 rs,, y el 2.0 á 100.“ Estampa de la alegoría de Cárlos m, que pintó Solimena, grabada por Don Manuel Salvador Carmona, á 40 rs. con su explicación. “Estampa del cuadro ale górico de la fundación de esta Real academia, que pintó L). Antonio González, grabada por D. Juan Bernabé Palomino, á 15 rs.“Hay otras estampas de mérito inferior , grabadas por discípulos de la academia a…</t>
  </si>
  <si>
    <t>Caro, Eusebio</t>
  </si>
  <si>
    <t>Eusebio Caro</t>
  </si>
  <si>
    <t>…apital al Brigadier D. Josef Vázquez: la ayudantía mayor de la plaza de Panamá á D. Juan Bautista Sanguinete, capitán de llaves de la misma: la de la de S. Agustín de la Florida á D. Eusebio Caro, teniente de la plana mayor de blancos, agregado al cuerpo de pardos: la se gunda de la de Puerto-Rico á D. Josef Mariano Patino, subteniente gradua do de infantería: la segunda de la de Cuba á D. Josef Leite Vidal, soldado distinguido de infantería; y la cap…</t>
  </si>
  <si>
    <t>Carra, Juan</t>
  </si>
  <si>
    <t>Juan Carra</t>
  </si>
  <si>
    <t>…n atención á sus distinguidos servicios y mérito. También se ha servido S. M. conceder la gran cruz y banda de la Real y militar orden de S. Hermenegildo á los tenientes generales D. Juan Carra fa , D. Juan Carlos de Areizaga, y conde de S. Agustín de Torohermoso; á los mariscales de campo D. Pedro Ruiz de Torras, D. Tomas O-Donojú, D. Alvaro Chacón y D. Manuel Ladrón de Guevara, y al gefe de escuadra de la Real armada D. JoaquiiLde Molina, en atenc…</t>
  </si>
  <si>
    <t>Carrasco</t>
  </si>
  <si>
    <t>…ba montado dicho Vargas. Y como cerraba ya la noche mandé reunir la gente, y vine á acam par á la hacienda de Paragani, en cuyo caserío me quedé el 26 oculto y de emboscada con el teniente Carrasco, Leige, Vargas y 40 hombres, haciendo que el capitán Rivas con la restante gente emprendiese su marcha para este pueblo, como lo egeeutó. Escariamos encerrados como una hora en las casas de la hacienda, cuando ya recalaba á ellas la caballería enemiga, y sali…</t>
  </si>
  <si>
    <t>Carrasco, Francisca</t>
  </si>
  <si>
    <t>Francisca Carrasco</t>
  </si>
  <si>
    <t>…ilar 10: Ma nuel Abad ió: Antonio Martin Bervemejo 100: Andrés de Sierra 10: Juan de Sierra 10: D. Juan Labordeta 100: D. Manuel Ximenez 300: Juan de la Vega 12 : Miguel Muñoz 60: Doña Francisca Carrasco 50: Salvador Cas co 10: Diego de Castro 12: D. Rafael Caballero 40: D. Salvadar Carruana 100: D. Antonio Fernandez 200: Francisco García Ruiz 60.__ To ta! 6061. Debiendo subastarse los suministros de paja y cebada que consumen las Reales caballerizas, brigada…</t>
  </si>
  <si>
    <t>Carrasco, Josef</t>
  </si>
  <si>
    <t>Josef Carrasco</t>
  </si>
  <si>
    <t>…el graduado de infantería: la sargentía mayor de la de S. Sebastian de Guipúzcoa á D. Francisco Martínez Noriega, de la misma clase y arma: la ayudantía del castillo de Benasque á D. Josef Carrasco, alférez agregado al estado mayor de la plaza de Granada. También se sirvió S. M. conceder honores de comisario ordenador al tesorero del egército de Ceuta D. Josef del Gayo, y el empleo de comisario de guerra á D. Angel Malpeli, contralor jubilado del hospit…</t>
  </si>
  <si>
    <t>Carrasco, Juan Vicente</t>
  </si>
  <si>
    <t>Juan Vicente Carrasco</t>
  </si>
  <si>
    <t>…nocimiento del hombre físico y vital, dispuesto con arreglo á la doctrina de Damas para el uso de los alumnos de medicina y ciru gía en las universidades y colegios de España, por D. Juan Vicente Carrasco, mé dico de número de los Reales hospitales de esta corte, individuo de la Real acade mia médica matritense, de la Real sociedad económica de Amigos del pais &amp;c. &amp;c. Estando para concluirse la edición castellana de los principios de fisiologia de Da mas, obra…</t>
  </si>
  <si>
    <t>Carrasco, Pablo Lorenzo Largo</t>
  </si>
  <si>
    <t>Pablo Lorenzo Largo Carrasco</t>
  </si>
  <si>
    <t>…e Hacienda de España. Honores del tribunal de la Rota de la Nunciatura A los Sres. D. Manuel Fernandez Varela, deán de Lugo; D. Antonio García Bermejo, capellán de honor de S. M.; D. Pablo Lorenzo Largo Carrasco , canónigo doctoral de la catedral de Cuenca ;, D. Esteban Rodrí guez Salas, canónigo de la catedral de Málaga; D. Josef de Urrutia y Egurvide Azula canónigo de la metropolitana de Valencia. Gages de secretario de S. M. A D. Francisco Hurtado de Mendoza, arch…</t>
  </si>
  <si>
    <t>…la iglesia catedral de Falencia: á D. Antonio García Bermejo, capellán de honor de S. M. : á D. Josef Urrutia y Egurbide Azula, canónigo de la iglesia metrepolitana de Valencia: á D. Pablo Lorenzo Largo Carrasco, canónigo de la catedral d3</t>
  </si>
  <si>
    <t>Carrasquedo, Miguel García</t>
  </si>
  <si>
    <t>Miguel García Carrasquedo</t>
  </si>
  <si>
    <t>…n, y al capitán de navio D. Alejandro Gu tiérrez de Ruvalcaba. Cruces de Caballeros A los Sres. D. Marcos Francisco Rivas, presbítero, domiciliado en Cara cas ; D. Nicolás Blanco; D. Miguel García Carrasquedo; D. Francisco Es cudero; D. Ildefonso Ruiz del Rio; D. Luis Gargollo; D. Josef López del Diestro ; D. Andrés Marzan; D. Juan Miguel de Lostra; D. Antonio Fajar do; D. Tomas Urrutia; D. Josef Xavier de Zuluaga y D. Josef de Veamurguía, individuos de la junta d…</t>
  </si>
  <si>
    <t>Carretero, Benito</t>
  </si>
  <si>
    <t>Benito Carretero</t>
  </si>
  <si>
    <t>…s de prodigar elogios á niños y catedrático, y declarar que todos indistintamente eran dig nos de ser premiados, como asi se hizo, distinguiendo no obstante con un primer premio á D. Benito Carretero; un segundo á D. Angel Mata; un ter cero á D. Pedro de la Santa Calleja, y otro á D.Isidoro Preciado. Madrid $ de Marzo. El día 8 del pasado tuvo la honra de felicitar á SS. MM. por su augusto enlace á nombre de la villa de Cañizares el Dr. D. Juan Nepomuceno…</t>
  </si>
  <si>
    <t>Carretero, Santos</t>
  </si>
  <si>
    <t>Santos Carretero</t>
  </si>
  <si>
    <t>…Zara goza, que por los añes de 80 ¿90 casó en Sevilla, de cuyo matrimonio tuvo un hijo que ha muerto, acuda por sí ó por persona que acredite su existencia, en Ma drid en casa de D. Santos Carretero, calle de Sta., Polonia , núms. 20 y 2 1, cuar to 3.0, quien le informará de ciertos intereses que le pertenecen. Refutación de varios errores reproducidos con motivo de la revolución francesa y española, compuesta por el Dr. D. Juan González Villar, colegial…</t>
  </si>
  <si>
    <t>CarriIlo, Juan Antonio González</t>
  </si>
  <si>
    <t>Juan Antonio González CarriIlo</t>
  </si>
  <si>
    <t>…D. Juan Ignacio de Ayestarán, Secretario del Rey nuestro Señor,la hice escribir por su mandado. = El duque del Infantado. = D. Bernardo Riega. =D. Antonio Alvarez de Contreras. = D. Juan Antonio González CarriIlo. = D. Felipe de Sobrado. = Registrada, Aquilino Escudero. = Teniente de Canciller mayor, Aquilino Escudero. En atención á los distinguidos servicios y mérito del Excmo. Sr. D. Juan Francisco Nuñez del Castillo, brigadier de los Reales egérciros, y teniente co…</t>
  </si>
  <si>
    <t>Carrillo, Diego</t>
  </si>
  <si>
    <t>Diego Carrillo</t>
  </si>
  <si>
    <t>…Agosto próximo pasado se ha mandado en sala de Justicia se ci te y emplace por medio de la gaceta y diario de esta corte á la hija que se dice ha ber quedado por fallecimiento de D. Diego Carrillo, marques que fue de Alcocebar, ó cualquiera otra persona que haya sucedido en sus derechos, para que comparez can á exponer el que crean asistirles en el término de un mes, contado desde ia pu blicación de este aviso; con apercibimiento que de no hacerlo so d…</t>
  </si>
  <si>
    <t>Carrillo, Josef María</t>
  </si>
  <si>
    <t>Josef María Carrillo</t>
  </si>
  <si>
    <t>…os pretendía hacer memorable es te dia, habla dispuesto de antemano una abundante y completa comida para los cuatro colegios unidos; la cual fue presidida por él, acompañándole el Sr. D. Josef María Carrillo, del Consejo de S. M., alcalde del Crimen de la Real chancillería de Valladolid, y comisionado por S. M. en esta ciudad, y se concluyó con muchos brindis á la salud de nuestro amado Soberano Don Fernando vii , del Sermo. Sr. Infante D. Cárlos, de los Sres. de…</t>
  </si>
  <si>
    <t>Carrizo</t>
  </si>
  <si>
    <t>…ntes D. Miguel Vitini y D. Josef Quiñones, de Extre madura, y D. Nicolás Castillo, de Ordenes Militares; alférez vivo ai cadete de Extremadura D. Miguel Aguayo, y al asistente del capitán Carrizo y artillero de Perote Francisco Martin plaza de sargenta en sus respectivos cuerpos. Ademas ha dispuesto S. E. que á todos los individuos de esta división les. sírva de mérito particular el contraído en ella para- sus ulteriores- ascensos. Madrid 20 de Agosto…</t>
  </si>
  <si>
    <t>Carrón</t>
  </si>
  <si>
    <t>…uartos.] 537 GACETA DE MADRID DEL MARTES 27 DE MAYO DE 1817. AFRICA. Argel i.° de May9. Eí día 8 de Abril ultimo entró en este puerto un bergantín de guerra sar do, conduciendo al caballero Carrón, cónsul general de S. M. el Rey de Cerdeña cerca del Dey de Argel: pocos días después presentó su regalo consular , que ha sido bien recibido, y queda egerciendo su destino con toda su legación. El mismo dia 8 llegaron procedentes de Constantinopla dos corbet…</t>
  </si>
  <si>
    <t>Carruana, Salvadar</t>
  </si>
  <si>
    <t>Salvadar Carruana</t>
  </si>
  <si>
    <t>…10: D. Juan Labordeta 100: D. Manuel Ximenez 300: Juan de la Vega 12 : Miguel Muñoz 60: Doña Francisca Carrasco 50: Salvador Cas co 10: Diego de Castro 12: D. Rafael Caballero 40: D. Salvadar Carruana 100: D. Antonio Fernandez 200: Francisco García Ruiz 60.__ To ta! 6061. Debiendo subastarse los suministros de paja y cebada que consumen las Reales caballerizas, brigada del Real cuerpo de Guardias de la Persona de S. M., caballería de esta plaza, escuadrone…</t>
  </si>
  <si>
    <t>Carruana, Vicenta</t>
  </si>
  <si>
    <t>Vicenta Carruana</t>
  </si>
  <si>
    <t>…nzález, Doña Magdalena Beltran , Doña Jocefa Andrés y Serra, Doña Josefa Bur gués, Doña María Dominga Aparici, Doña Carmen Sala y Corones, Doña Magdalena Prat, Doña Vicenta Vidal, Doña Vicenta Carruana, Doña Isa bel María Morera, Doña Bernarda Palomares y Doña Antonia Chaubet. D espues de esto, habiendo ocupado los premiados el lugar distinguido según costumbre, y cesado la múdea que solemnizaba este tierno acto, el socio de mérito P. Rafael del Angel Custo…</t>
  </si>
  <si>
    <t>Carvajal, Manuel Tamayo y</t>
  </si>
  <si>
    <t>Manuel Tamayo y Carvajal</t>
  </si>
  <si>
    <t>…aues de Esquivd, para sí, sus hijos y sucesores en su casa y mayorazgos nacidos de legítimo matrimonio perpetuamente. Y asimismo se ha servido S. M. conce der título de Castilla á D. Manuel Tamayo y Carvajal, con la denomina ción de marques de la Gomera, para sí, sus hijos y sucesores en su casa y mayorazgos nacidos de legítimo matrimonio perpetuamente. No habiéndose verificado el remate el dia 22 del corriente de la parte que en la casa sita en la calle de S. Be…</t>
  </si>
  <si>
    <t>Cas, Antonio Madoiell y</t>
  </si>
  <si>
    <t>Antonio Madoiell y Cas</t>
  </si>
  <si>
    <t>…par2 la de Vilialpando á D. Ginés Casanova: para la de Is Ve ga de Valcarce á D. Josef Pía y Puig|: para la de Junquera de Ambia á Don Juan Francisco Bajo: para la de Estrernera á D. Antonio Madoiell y Cas tillo: para la de Monteagudo á D. Mariano Beaumont y Bretón: para la dé Mombeltran á D. Diego Cisneros Valencia: para la de Villanueva del Fres no á D. Lucas Vázquez Garcés: para la de Monremayor, en Castilla, á D. Josef Urbano Sancho; y para la de Bodonal á…</t>
  </si>
  <si>
    <t>Cas, Cristóbal de Aviles Casco y</t>
  </si>
  <si>
    <t>Cristóbal de Aviles Casco y Cas</t>
  </si>
  <si>
    <t>…, y en observancia de su instituto, se formó á caballo en la tar de del día 4 del corriente en las puertas de las casas donde celebra sus fun ciones, y se hallan destinadas por el Sr. D. Cristóbal de Aviles Casco y Cas tro, teniente de S. A. R., con su música marcial, y se dirigió por la carre ra señalada á su plaza propia, la que estaba adornada con el mayor gusto, aparato y magnificencia, y en su balcón ricamente adornado se hallaba el retrato de S. A. R. bajo su dosel, h…</t>
  </si>
  <si>
    <t>Cas, Melchor del</t>
  </si>
  <si>
    <t>Melchor del Cas</t>
  </si>
  <si>
    <t>…s, se debió en gran parte la derrota del enemigo. Igual mente se han hecho acreedores á la mayor consideración los coroneles gradua dos D. Antonio Casano , D • Josef Barreiro y el capitán D. Melchor del Cas taño , todos del Real cuerpo de artillería, y el coronel D. Francisco Warleta, gefe del estado mayor general. Elogia muy particularmente la ccnducta de los oficiales de la Real arma da, y con especialidad la del coir.ondante de la escuadra capitán de fragata…</t>
  </si>
  <si>
    <t>Casado, Celedonio</t>
  </si>
  <si>
    <t>Celedonio Casado</t>
  </si>
  <si>
    <t>…quín Vargas, Don Felipe Crespo, D. Francisco Canillas, D. Pedro Miguel, D. Genaro Sal gado, D. Cándido de la Fuente , D. Josef García Vázquez , D. Aquilino Lu nar, D. Pedro Gómez, D. Celedonio Casado, D. Vicente Berdion , Don Joa quín Lumeras, D. Tomas Asensio, D. Mateo Rodriguez, D. Valentín Ga veta, D. Pedro Martin, D. Antonio Fernandez, D. Andrés Redondo, Don Federico Movilla, D. Bernardo Huelga, D. Esteban Blanco, D. Miguel Alonrso, D. Cesáreo Viguera…</t>
  </si>
  <si>
    <t>Casado, Francisco Peré y</t>
  </si>
  <si>
    <t>Francisco Peré y Casado</t>
  </si>
  <si>
    <t>…ión de muestras originales, y el catecismo de urbanidad del 3Utor, á 5 rs. en rús tica y 7 en pasta. Adiciones á los tres tomos del diccionario geográfico universal de Ech&gt;rd, por D. Francisco Peré y Casado: tres cuadernos en 4.0, impresos en 1795» Se hallarán á 9 rs. cada cuaderno en papel en el almacén de la imprenta Real. EN LA IMPRENTA REAL.</t>
  </si>
  <si>
    <t>Casale, Joaquín</t>
  </si>
  <si>
    <t>Joaquín Casale</t>
  </si>
  <si>
    <t>…írez (de Santander): 44067 Do mingo Párramo___De 150 pesos de Setiembre de 1808: 176734 y 200685 Sr. tesorero general: 202814 D. Manuel Angel Indo: 202863 Domingo Pár ramo: 202951 D. Joaquín Casale: 203417 Domingo Párramo: 203537 y 204419 D. Manuel Angel Indo: 204975 D. Josef de las Barcenas: 207326 D. Manuel Angel Indo: 212981 y 216550 Sr. tesorero general-----Y por auto de 15 del corriente se ha comunicado traslado de dicha demanda á los tenedores que…</t>
  </si>
  <si>
    <t>Casamayor, Pedro</t>
  </si>
  <si>
    <t>Pedro Casamayor</t>
  </si>
  <si>
    <t>34</t>
  </si>
  <si>
    <t>…da en 16 del corriente, y refrendada por el.escribano de provincia y comisiones de la misma LX Luis López de Castro, se cita, llama y emplaza á todos los acreedores al concurso de D. Pedro Casamayor y com pañía , vecino y del comercio que fue de esta corte, para que por sí o por medio de procurador con poder bastante concurran á la junta que se ha de celebrar con los síndicos y demas acreedores que están en esta villa el dia 2 de Febrero próximo a las 10…</t>
  </si>
  <si>
    <t>…s de la misma D. Luis López de Castro, se cita, llama y emplaza por término de 30 dias, contados desde su publicación, á todos los que tengan de recho á los bienes del concurso de D. Pedro Casamayor y compañía, y se hallan comprendidos en el prorateo egecutado por los síndicos del mismo en 4 del corrien te, con arreglo á la junta que se celebró en 2 de Febrero último, los que han de legitimar sus créditos por medio de procurador con poder bastante en la…</t>
  </si>
  <si>
    <t>…incia D. Luis López de Castro, se cita, llama y emplaza por segundo tér mino de 20 dias, contados desde su publicación, á todos los que tengan derecho á jos bienes del concurso de D. Pedro Casamayor y compañía, y no se han presen tado hasta ahora á deducir su acción, y se hallan comprendidos en el prorateo egecutado por los síndicos del mismo en 4 de Julio último , con arreglo á la junta que se celebró en 2 de Febrero de este ano, los que han de legitima…</t>
  </si>
  <si>
    <t>…ncia y comisiones de la misma D. Luis López de Castro, se cita, llama y em plaza por tercero y último término de 15 dias, contados desde su publicación , á todos los acreedores de D. Pedro Casamayor y compañía, que hasta el dia no se han presentado á percibir las cantidades de maravedises que les ha cabido en el prorateo egecutado por los síndicos del mismo en 4 de Julio último, con arreglo á la junta que celebraron en 2 de Febrero de este año, para que…</t>
  </si>
  <si>
    <t>Casaña, Juan</t>
  </si>
  <si>
    <t>Juan Casaña</t>
  </si>
  <si>
    <t>…bujo fueron premiados D. Lorenzo de Francisco Romanillos y D. Valen tín Chaola con premio igual; y por fin Se adjudicó al sordo-mudo Ramón Rosel un premio extraordinario, y otro á D. Juan Casaña en recompensa de los bellos dibujos que presentó á la sociedad. Estos premios consistían en una medalla de pl?tá cotí la imagen dé nuestra Señora del Sagrario, tan tier na como justamente venerada por los toledanos , y ai rededor ia siguiente</t>
  </si>
  <si>
    <t>Casano, Antonio</t>
  </si>
  <si>
    <t>Antonio Casano</t>
  </si>
  <si>
    <t>n6i columna de cazadores, se debió en gran parte la derrota del enemigo. Igual mente se han hecho acreedores á la mayor consideración los coroneles gradua dos D. Antonio Casano , D • Josef Barreiro y el capitán D. Melchor del Cas taño , todos del Real cuerpo de artillería, y el coronel D. Francisco Warleta, gefe del estado mayor general. Elogia muy particularmente la ccnducta de los oficiales de la Real arma da, y con especialidad l…</t>
  </si>
  <si>
    <t>Casanova, Ginés</t>
  </si>
  <si>
    <t>Ginés Casanova</t>
  </si>
  <si>
    <t>…pona: para la de Autol, de nueva creación, á D. Juan Sahagun Vicente: para la de S. Lorenzo de la Parrilla á D. Francisco Casimiro González de Argandoña : par2 la de Vilialpando á D. Ginés Casanova: para la de Is Ve ga de Valcarce á D. Josef Pía y Puig|: para la de Junquera de Ambia á Don Juan Francisco Bajo: para la de Estrernera á D. Antonio Madoiell y Cas tillo: para la de Monteagudo á D. Mariano Beaumont y Bretón: para la dé Mombeltran á D. Diego Ci…</t>
  </si>
  <si>
    <t>Casariego, Cayetano Blanco</t>
  </si>
  <si>
    <t>Cayetano Blanco Casariego</t>
  </si>
  <si>
    <t>…D. Antonio Turvica, médico de Iruecha , paraTiermas: D Bartolomé Sierra , médico titular de la ciudad de Mo lina, y honorario de los Reales egércitos, para Panticosa: en Astiirias Don Cayetano Blanco Casariego para las Caldas de Oviedo ó de Priorio: en el reino de Jaén D. Vicente Orti y Criado, médico de la villa de Castro del Rio, para el Marmolejo : D. Francisco Samartin, médico de número de egército, para la Elísea ó Aliseda : en el reino de Granada D. Francisco…</t>
  </si>
  <si>
    <t>Casarubios, Gabriel Anacleto García</t>
  </si>
  <si>
    <t>Gabriel Anacleto García Casarubios</t>
  </si>
  <si>
    <t>…de la Cámara á D. Josef García de la Torre, alcalde de Casa y Corte. También se ha servido conceder S. M. honores de auditor del tribunal de la Rota de la Nunciatura apostólica á D. Gabriel Anacleto García Casarubios , abad de la Real colegiata de Alabanza, dignidad de la iglesia catedral de Falencia: á D. Antonio García Bermejo, capellán de honor de S. M. : á D. Josef Urrutia y Egurbide Azula, canónigo de la iglesia metrepolitana de Valencia: á D. Pablo Lorenzo Largo Car…</t>
  </si>
  <si>
    <t>Casas, Martin</t>
  </si>
  <si>
    <t>Martin Casas</t>
  </si>
  <si>
    <t>…, Mauriño y Pedro el Negro. A las ocho de la noche llegué á S Agustín,de dond« salí á las 11 de la misma con aque lla fuerza , 50 infantes de Fernando vil de línea , aí mando del teniente Don Martin Casas, y 47 dragones de la primera compañía de Fíeles, al cargo de su comandante D. Eugenio Revilla , y atravesando por varios pueblos y mon tes, á pesar de una lluvia de toda la noche,llegué al amanecer al pie del ele vado cerro donde estaba el campo de González.…</t>
  </si>
  <si>
    <t>Casasola, Diego Vicente</t>
  </si>
  <si>
    <t>Diego Vicente Casasola</t>
  </si>
  <si>
    <t>…rancisco Anto nio López, subteniente agregado al estado mayor de dicha plaza. En atención al relevante mérito, largos y extraordinarios servicios, y distinguidas circunstancias de D. Diego Vicente Casasola, maesrrante de ia Real de Ronda, regidor perpetuo y decano de la ciudad de Antequera, se ha servido S. M. concederle, á consulta de la Cámara, la merced de título</t>
  </si>
  <si>
    <t>Casaus, Pedro Ferrer y</t>
  </si>
  <si>
    <t>Pedro Ferrer y Casaus</t>
  </si>
  <si>
    <t>…rovincias, ciudades y villas de ambos reinos, su extensión, población, manufacturas, distancias, latitud, longitud &amp; c. &amp;c.: escrita en ingles; traducida y aumentada con notas por D. Pedro Ferrer y Casaus. El traductor, p3ra hacerla mas interesante, la ha aumentado con notas, en las que refiere los honores que tuvieron en tiempo de los fenicios, cartagineses y romanos muchos pueblos de España y Por tugal, ofrece varias reseñas históricas, y describe por último…</t>
  </si>
  <si>
    <t>Casimiro, Josef</t>
  </si>
  <si>
    <t>Josef Casimiro</t>
  </si>
  <si>
    <t>…banía de D. Pascual Seco. Hallándose pendientes en el juzgado de esta capitanía general y auditoría de guerra de Castilla la Nueva los autos de testamentaría del mariscal de campo Don Josef Casimiro de la Valle, gobernador militar y político que fue de la plaza de Alicante, se ha mandado celebrar junta de acreedores á sus bienes, y señalado para ella el domingo 15 de Junio próximo en la audiencia y escribanía del juzgado, ca lle del Príncipe, á las 9 de…</t>
  </si>
  <si>
    <t>Caso, Tiburcio del</t>
  </si>
  <si>
    <t>Tiburcio del Caso</t>
  </si>
  <si>
    <t>…ra feraz, trató de proporcionar una segura fertilización con las aguas del inmediato rio Ebro, en lugar de la incierta que sedaba con las del'lejano Aragón. Consiguió que el sabio profesor D. Tiburcio del Caso , director fa cultativo de los canales de Aragón, y de la academia de Nobles Artes de Zaragoza , calculase un proyecto para la construcción de unas norias de nue va invención , el cual puesto ya por obra padeció la suerte de las grandes em presas en la contra…</t>
  </si>
  <si>
    <t>…os particulares al fin de la temporada para sus alumnos, reducidos á instrumentos y cosas del uso de ■su profesión. Con este objeto el director de arquitectura académico de mérito D. Tiburcio del Caso propuso para el primer premio idear y delinear en planta y alzado uoa cusa de recreo para un letrado, con habitación cómoda y decente para el dueño, é independiente de la del hortelano, coa las ofici nas á propósito, en tamaño de papel de holanda, y para el s…</t>
  </si>
  <si>
    <t>Castañares, Pedro Noiasco</t>
  </si>
  <si>
    <t>Pedro Noiasco Castañares</t>
  </si>
  <si>
    <t>…mplaza á los últimos tenedores de los 12 vales Reales, cuyas creaciones, números y nombres son los siguientes: de 300 pesos de i.° de Setiembre de 1807, núms. 17340, 20398 y 20776 D. Pedro Noiasco Castañares: 20935 D. Feliciano de Ochoa: 22806 D. Pedro Ormaechea: 22900 D. Gabriel Aragón; y 63835 y 66225 D. Manuel Callejo de Alba: de 600 pesos de i.° de Mayo de 1808, núms. 391730 Doña Catalina Gómez; y 412136 D. Julián Diaz: de 300 pesos de idem, niims. 477420 y 4…</t>
  </si>
  <si>
    <t>Castañeda, Josef</t>
  </si>
  <si>
    <t>Josef Castañeda</t>
  </si>
  <si>
    <t>…Baiis, por D. Josef Mariano Vallejo: en 4.0, á 6 rs. en papel, 8 en rús tica y 11 en pasta. “Compendio de la arquitectura de Vitruvio de Mr. Perrault, traducido al castellano por D. Josef Castañeda: un tomo en 8.° mayor, á 12 rs. en papel, 14 en rústica y 18 en pasta. “Actas de la Real academia de S. Fernan do desde su solemne abertura en 1752 hasta 1757, en un tomo en 4.0 pasta á 2 6 rs.“Cuadernos en rústica de las referidas actas desde 175 2 hasta 179…</t>
  </si>
  <si>
    <t>Castañon</t>
  </si>
  <si>
    <t>…ta; teniendo por conveniente re tirarnos con pérdida de ó muertos y 29 heridos. Esta ocurrencia me obligó á pensar en aumentar mi fuerza, á cuyo efecto hice reunírseme al teniente coronel Castañon, tanto con aquella mira en caso de ataque, como para cu brir el Ojo de Agua y otros parages necesarios, ínterin yo combinaba la ac ción que felizmente se ha practicado hoy, y en la que ha salido contuso Castañon. ,,En ella han perdido los enemigos mas de 100…</t>
  </si>
  <si>
    <t>Castañon, Felipe</t>
  </si>
  <si>
    <t>Felipe Castañon</t>
  </si>
  <si>
    <t>…l fuerte de Carrizalillo situado entre los Reyes y Apacingan, lugar en que la junta rebelde fraguó su revolucionaria constitución. En 14 de Octubre anterior se apoderó el teniente coronel D. Felipe Castañon de la isla fortificada de Janiche, situada en la laguna de Pazcuaro; y habiendo arrojado los rebeldes los cañones al agua, y abandonando aquel gefe todo lo de mas que tenian en su fuerte, sacó aquel las piezas y destru yó la fortificación. En 19 de Octubre at…</t>
  </si>
  <si>
    <t>Castaños, Francisco Xavier</t>
  </si>
  <si>
    <t>Francisco Xavier Castaños</t>
  </si>
  <si>
    <t>…o se dio principio á la obra de la acequia de riego del Llobregat, á cuyo acto asistió el ayuntamiento, la junta de esta empresa, presidida por su protector y presidente el Excmo. Sr. D. Francisco Xavier Castaños, y un numerosísimo concurso de gentes de las poblaciones inme**diatas, que con incesantes aclamaciones manifestaban su extraordinario re gocijo, y la gratitud que los animaba por haberse dignado S. M. aprobar una obra que tantas utilidades debe proporcionar á…</t>
  </si>
  <si>
    <t>Castaños, Francisco Xavier de</t>
  </si>
  <si>
    <t>Francisco Xavier de Castaños</t>
  </si>
  <si>
    <t>…hecho anunciar antes en el diario de esta capital. Verificóse en dicho dia el acto literario, presidido por la Real junta, y habiéndose dignado honrarle con su presencia el Excmo. Sr. D. Francisco Xavier de Castaños, capitán general de este egército y principado. Un nu meroso cuanto lucido y escogido concurso, que apenas podía contener la ca pacidad del salón de la casa lonja , fue gustoso espectador de la aplicación y desembarazo de unos jóvenes, que al paso que entraro…</t>
  </si>
  <si>
    <t>Castañoscapitán, Francisco Xavier de</t>
  </si>
  <si>
    <t>Francisco Xavier de Castañoscapitán</t>
  </si>
  <si>
    <t>…de á V. E. muchos años. Tárrega 3.0 de Abril de 18 (7. = Excmo. Sr. = Francisco de Pastoret. Antonio. Castellano.=Cayetano Puig. = Francisco Bagils y Morlius, seeretario.= Exorno. Sr. D. Francisco Xavier de Castañoscapitán general &amp;c.* protector de los canales de Urgel*” Madrid 21 de Mayo* El Rey nuestro Señor sin aviso alguno anterior se presentó de incógnito con su capitán de guardias el Excmo. Sr. duque de Alagon el sábado próxi mo 17 del corriente á cosa de las nueve de la…</t>
  </si>
  <si>
    <t>Castell, Josef Bruquera y</t>
  </si>
  <si>
    <t>Josef Bruquera y Castell</t>
  </si>
  <si>
    <t>…Manuel Francisco Aguirre é hijos, D. Vicente Carrasco y Fominaya, Doña Clara Ambite, Juan Antonio Morera, D. Josef Sala y Cam, D. Ig nacio de Arellana, D. Francisco Bolart y Goma, D. Josef Bruquera y Castell, Don Francisco Argel é hijos, y D. Lorenzo Carballo de Ledesma, para que en el preciso y perentorio término de 30 dias, contados desde la publicación de este aviso, com parezcan por sí ó por procurador con poder bastante al referido juzgado y citada escribaní…</t>
  </si>
  <si>
    <t>Castella, Rita</t>
  </si>
  <si>
    <t>Rita Castella</t>
  </si>
  <si>
    <t>…io, donde se tratará con el R. P. Fr. Josef de San Antonio, contador mayor en el mencionado monasterio, y rematará bajo las con diciones que allí se expresarán en el mejor postor. Doña Rita Castella, bautizada y casada en la ciudad de Cádiz con D. Josef Lucas, natural de Barcelona, salió de esta ciudad de Cádiz en el año de 1800 con géneros, mercancías y otros efectos, sin saber su paradero desde el año de 1803, que solo se ha sabido por varios sugetos f…</t>
  </si>
  <si>
    <t>Castelló, Josef</t>
  </si>
  <si>
    <t>Josef Castelló</t>
  </si>
  <si>
    <t>439</t>
  </si>
  <si>
    <t>439 naturaleza, y estaba sin destino en la ciudad de Tarazona de la Mancha: la capitanía de llaves de la de Gerona al subteniente de egército D. Josef Castelló, sargento primero de Reales guardias de infantería Española; y la de la de Seu de Urgel á D. Pedro Teruel, sargento segundo del mismo Real cuerpo. En Aiv/erica. El Gobierno del castillo de Atores, dependiente de la pla za de la Havana, á D. Diego de Montalvo,…</t>
  </si>
  <si>
    <t>Castilla, Francisco</t>
  </si>
  <si>
    <t>Francisco Castilla</t>
  </si>
  <si>
    <t>…ico y Real de la gracia del Ex cusado á D. Mateo Jara , canónigo tesorero de la santa iglesia catedral de Co ria : á D. Francisco Amar, canónigo de la metropolitana de Zaragoza: á Don Francisco Castilla, deán de la catedral de Badajoz: á D. Juan Antonio Prada, canónigo tesorero de la metrepolitana de Sevilla; y á D. Diego de la Torre, canónigo de la santa iglesia primada de Toledo. Plaza de juez mayor de Vizcaya en la chancillería de Valladolid á Don Juan Ar…</t>
  </si>
  <si>
    <t>Castillo, Josef María del</t>
  </si>
  <si>
    <t>Josef María del Castillo</t>
  </si>
  <si>
    <t>…A. R. á las ciencias naturales, le había remitido juntamente una preciosa y rica co lección de minerales de Siberia. El Rey nuestro Señor, atendiendo á los méritos y servicios de D. Josef María del Castillo, contador jubilado del consulado de Buenos-Aires, ha te nido á bien concederle la cruz de caballero de la Real orden americana de Isabel la Católica. Por Real resolución de 29 de Abril próximo pasado, expedida por la primera secretaría de Estado y del Despach…</t>
  </si>
  <si>
    <t>Castillo, Juan Francisco Nuñez del</t>
  </si>
  <si>
    <t>Juan Francisco Nuñez del Castillo</t>
  </si>
  <si>
    <t>…z CarriIlo. = D. Felipe de Sobrado. = Registrada, Aquilino Escudero. = Teniente de Canciller mayor, Aquilino Escudero. En atención á los distinguidos servicios y mérito del Excmo. Sr. D. Juan Francisco Nuñez del Castillo, brigadier de los Reales egérciros, y teniente coronel del regimiento infantería de Cuba, y á su constante adhesión á los derechos del Rey nuestro Señor, se ha dignado S. M. conferirle el mando del mismo cuerpo que se halla de guarnición en la ciudad de la Ha…</t>
  </si>
  <si>
    <t>Castillo, Nicolás</t>
  </si>
  <si>
    <t>Nicolás Castillo</t>
  </si>
  <si>
    <t>…de á bayonetazos. Los oficiales de esta compañía acreditaron con mucho honor suyo y de todos el digno espíritu que les anima; y el subteniente del regimiento de Ordenes Mh litares D. Nicolás Castillo, incorporado con una partida de 20 hombres de su mismo cuerpo en la compañía de cazadores de la sección deTuxpan, con currió con estos al primer encuentro, y se condujo en él con la mayor sere nidad y buena disposición. Todos los del cuerpo de vanguardia me h…</t>
  </si>
  <si>
    <t>…s al teniente D. Juan Basave, de Extremadura, y D. Manuel Manso, de realistas de Tampieo; de te nientes á los subtenientes D. Miguel Vitini y D. Josef Quiñones, de Extre madura, y D. Nicolás Castillo, de Ordenes Militares; alférez vivo ai cadete de Extremadura D. Miguel Aguayo, y al asistente del capitán Carrizo y artillero de Perote Francisco Martin plaza de sargenta en sus respectivos cuerpos. Ademas ha dispuesto S. E. que á todos los individuos de esta…</t>
  </si>
  <si>
    <t>Castle</t>
  </si>
  <si>
    <t>…e manifestó en el ataque de Argel. Idem y. El lord canciller, los vizcondes Sidmouth , Castlereagh y el conde de Li verpool tuvieron ayer una larga audiencia del Príncipe Regente: lord Castle reagh ya habia tenido otra anteayer. Ayer tarde salió de esta capital el Excmo. Sr. conde de Fernán-Nuñez, con dirección á París, á desempeñar su destino de embajador de España cer ca de la corte de Francia. FRANCIA. París £ de Alayo» El Rey ha destinado dos…</t>
  </si>
  <si>
    <t>Castlereagh</t>
  </si>
  <si>
    <t>…ecucion de esta providencia mientras están deliberando S. A. P. GRAN BRETAÑA. Londres jo de Diciembre. Estando en camino para esta capital el duque de Weliington envió un correo á lord Castlereagh que se hallaba en su hacienda de North-Cray, y el ministro indes vino inmediatamente á Londres , donde tuvo una larga conferencia con el duque. Se ignora si lord Weliington ha venido a Inglater~ ra á tomar órdenes del Gobierno ó á asuntos particulares. En Bri…</t>
  </si>
  <si>
    <t>…de la máquina, cuya invención se atribuye al coronel Passley, del cuerpo de zapadores y minadores. Idem 2. Escriben de Brightonque habían llegado ayer allí el conde de Liverpool y lord Castlereagh___ Se esperaba que hubiese hoy un consejo de Gabinete, al que debía concurrir la mayor parte de los ministros. La vigilancia de los oficiales de policía ha producido el mejor efecto en Nottingham, habiendo sido arrestados algunos sugetos que se creían bien se…</t>
  </si>
  <si>
    <t>102</t>
  </si>
  <si>
    <t>…ó hagan arrestar á estos malhechores. GRAN BRETAÑA. Londres 4; de Enero. Ayer se tuvo un consejo privado en Brighton, al que asistieron el duque de Clarence, el conde Liverpool , lord Castlereagh y otros ministros. Algu nos periódicos han publicado la noticia de que en este consejo propusieron los ministros que se prorogase otra vez el parlamentó, y que el Príncipe Regente se había negado á ello. Esta noticia es absolutamente falsa, y el par lamento s…</t>
  </si>
  <si>
    <t>…reúnen sugetos los mas recomendables por sus cono cimientos, por su integridad, y por su franqueza y noble modo de pensar. Entre ellos hay siete empleados, que son los siguientes: lord Castlereagh , el canciller del Echiquier, lord Binning, Mr. Peel, Mr. Huskisson, Mr. Ticrney y el caballero J. Newport. Los demas son Mr- Baukes, Mr. Frankland Lewis, Mr. Hut Davis, Mr. Tramayne , Mr. Harford., Mr. Cartwight, Mr. Catvest y otros.</t>
  </si>
  <si>
    <t>396</t>
  </si>
  <si>
    <t>…BRETAÑA. Londres 24 de Marzo. Hace tres dias que estuvo á comer la Reina con el Príncipe Regente, á quienes acompañaron los Príncipes, Princesas y casi todos los ministros, me nos lord Castlereagh, que no pudo salir de casa por una indisposición. Se han recibido noticias de Cantón, que alcanzan hasta 25 de Noviem bre ; esto es, ocho dias posteriores á las noticias que teníamos. El 24 de aquel mes no había vuelto la embajada á aquella ciudad ; pero la e…</t>
  </si>
  <si>
    <t>…peles presenta dos á la cámara de los comunes relativamente á la embajada de Lisboa. Es tos papeles son copias ó extractos de diversos oficios de los ministros, y en particular de lord Castlereagh á Mrs. Georges, Canning y Tomas. FRANCIA. Parts 5 de Abril. ' El 31 de Marzo falleció el duque de Laval, par de Francia. El príncipe La-val, embajador d¿-l Rey cerca’de la corte de España, que actualmente se halla en París, ha sucedido á su padre en lá dignid…</t>
  </si>
  <si>
    <t>…de Madrás, compuestos de naturales del pais, y mandados por el coronel Walker. De esta manera se aprestan para poner fin al poder de los máratas y de los píndares. Se asegura que lord Castlereagh tuvo ayer una nueva recaída de su indis-</t>
  </si>
  <si>
    <t>…on ilumi naciones y regocijos como el dia del cumpleaños del Rey. La artillería del parque de S. James no hizo salva por no incomodar á la Reina. Ayer visitó el Príncipe Regente á lord Castlereagh en su casa de campo de North-Cray, en donde comió S. A. R. El lord, aunque restablecido de su indisposición, no sale todavía de casa.__ Se asegura que la Reina tendrá corte luego que se lo permita su salud; pero que será la última, porque le incomo da mucho e…</t>
  </si>
  <si>
    <t>…e dice que ei número total de personas muertas de lá fiebre petequial en el ducado de Parma asciende de 5 á 6® individuos. GRAN BRETAÑA. Londres jo de Julio. Dias pasados mordió á lord Castlereagh un perro faldero de su esposa, de cuyas resultas se le inflamó tanto la mano, que fue preciso llamar in mediatamente á un facultativo. Parece que tiene tres dedos muy estropea dos j particularmente el pulgar, por cuya causa permanece en cama. El motivo de la…</t>
  </si>
  <si>
    <t>…l Mediterrá neo. Los principales periodistas de Londres manifiestan temer grandes per juicios si llega á verificarse. Idem 14. Ayer se presentó por primera vez al Príncipe Regente lord Castlereagh en el palacio de Carlton , después del fracaso que le sucedió en NorthCray: aun lleva el brazo sujeto con un pañuelo. Habiéndose declarado una fiebre maligna en Tralley, en Irlanda, capi tal del condado de Kerry, se han suspendido de orden del Gobierno las ju…</t>
  </si>
  <si>
    <t>Castlerengh</t>
  </si>
  <si>
    <t>…abitantes de no adoptar medidas de precaución. Idem n. Ayer á las 3 de la tarde fue presentado at Príncipe Regente el Excmd. Sr. duque de S. Carlos, embajador de España . por lord vizconde Castlerengh, como ministro de Negocios extrangeros. S. E. tuvo una audiencia particular con S- A. R. el Príncipe. Regente, en que presentó sus credencia les----- El caballero Campuzano y otros individuos de la embajada fueron presentados sucesivamente al Príncipe Regente…</t>
  </si>
  <si>
    <t>Castrillo</t>
  </si>
  <si>
    <t>…que fue soldado en el año de 1804. La persona que tuviese noticia se servirá comunicarla á D. Juan Manuel Ballesteros, que vire en la bajada de S. Martin, tercera tienda, casa del Sr. Castrillo. Los suscriptores á la traducción del ensayo sobre reconocimientos militares po drán acudir á recoger los egemplares á la librería de Dávila, calle de las Carretas; y habiendo parecido conveniente añadir á esta traducción la descripción y láminas del semicírc…</t>
  </si>
  <si>
    <t>Castrillo, Luis López de</t>
  </si>
  <si>
    <t>Luis López de Castrillo</t>
  </si>
  <si>
    <t>…Doña María Francisca de Asís, quie nes enterados de los sinceros deseos y felicitaciones de aquella ciudad contes taron con el agrado y bondad que ensalzan sus virtudes. El limo. Sr. D. Luis López de Castrillo, obispo de Lorima, y auxiliar de Madrid, al recorrer en el mes de Diciembre último los pueblos del campo de Calatrava para administrar el sacramento de la Confirmación, y egercer las demas funciones de su ministerio pastoral, advirtió que en los pueblos en qu…</t>
  </si>
  <si>
    <t>Castro, Antonio</t>
  </si>
  <si>
    <t>Antonio Castro</t>
  </si>
  <si>
    <t>…eta, D. Pedro Martin, D. Antonio Fernandez, D. Andrés Redondo, Don Federico Movilla, D. Bernardo Huelga, D. Esteban Blanco, D. Miguel Alonrso, D. Cesáreo Viguera, D. Miguel Chana, D. Antonio Castro, D. Toribio González, D. Santiago Alonso, D. Tomas Pardo, D. Ignacio Ojero, Don Fernando Movilla, D. Manuel Gómez, D. Francisco Rodriguez, D. Alvaro Chaves, D. Fernando García, D. Bernardino Lorenzo y D. Luis de León. El R. P. prior de Sto. Domingo demostró e…</t>
  </si>
  <si>
    <t>Castro, Casto García de</t>
  </si>
  <si>
    <t>Casto García de Castro</t>
  </si>
  <si>
    <t>…aja de la agricultura, que es el objeto que anima á este cuerpo patriótico. D. Patricio Ramírez, canónigo de Alcalá de Henares, con carta fecha el 29 de Julio último, y dirigida á D. Casto García de Castro, segundo di rector de la sociedad, escribe: ,,Este trillo está trillando con tanta ventaja grano y paja, que ahorra mas de la mitad del gasto, por lo que se estan ya construyendo aquí tres de ellos, y en breve creo que harán lo mis mo todos los labradores.”--…</t>
  </si>
  <si>
    <t>Castro, Cristóbal de Aviles Casco y</t>
  </si>
  <si>
    <t>Cristóbal de Aviles Casco y Castro</t>
  </si>
  <si>
    <t>…, y en observancia de su instituto,se formó á caballo en la tar de del dia 4 del corriente en las puertas de las casas donde celebra sus fun ciones, y se hallan destinadas por el Sr. D. Cristóbal de Aviles Casco y Castro, teniente de S. A. R., con su música marcial, y se dirigió por la car rera señalada á su plaza propia, la que estaba adornada con d mayor gusto, aparato y magnificencia , y en su balcón ricamente adornado se hallaba el re trato de S. A. R. bajo su dosel, haci…</t>
  </si>
  <si>
    <t>Castro, Cristóbal de Avilés y</t>
  </si>
  <si>
    <t>Cristóbal de Avilés y Castro</t>
  </si>
  <si>
    <t>…as vistosas escaramuzas y lances de carrillos y ramos de flores que estaba acordado; pero sí en la noche de este dia se sir vió un abundante y espléndido refresco en las casas del Sr. D. Cristóbal de Avilés y Castro, teniente de S. A. R., á todas las autoridades, corporacio nes eclesiásticas, civiles y militares &amp;c.; y aunque no se colocó en la plaza en su balcón el retrato del Sermo. Sr. Infante D. Carlos María, su digno hermano mayor, con todo se dieron seis reales á l…</t>
  </si>
  <si>
    <t>Castro, Cristóbal de Aviles y</t>
  </si>
  <si>
    <t>Cristóbal de Aviles y Castro</t>
  </si>
  <si>
    <t>…y en celebridad del plausible dia de nuestro augusto Soberano y Se ñor D. Fernando vii , en la tarde del 30 del corriente se formó á caballo en las casas del teniente de S. A. R. D. Cristóbal de Aviles y Castro con la música marcial, e introducido en un coche de gala el Real retrato de S. M., escoltado por la compañía de granaderos de su regimiento provincial ,fue con ducido á su plaza propia con espada en mano, y todo aparato y magnificen cia, con la que fue coloca…</t>
  </si>
  <si>
    <t>Castro, Josef de</t>
  </si>
  <si>
    <t>Josef de Castro</t>
  </si>
  <si>
    <t>…el y comandante T&gt;, Antonio Linares. / ,,Excmo. Sr. : Paso á las superiores manos de V. E. el parte original, que con fecha 21 del que rige me da el sargento mayor de Nueva-España D. Josef de Castro de lo acaecido en esta plaza ínterin mi separación. „Dios guarde áV. E. muchos años. Valladolid Noviembre 25 dei8ró.= Excmo. Sr.=Antonio Linares.=Excmo. Sr. virey D. Juan Ruiz de Apodaca.” ,, Habiendo tenido aviso por cierta persona, que me aseguraron ser de…</t>
  </si>
  <si>
    <t>…n número de 2 5 , y que habían pasado con bastante priesa desde ei dia anterior. A consecuencia, y para poderlos alcanzar, destiné al capitán D. Miguel Paredes y al de igual clase D. Josef de Castro con piquetes suficientes de sus compañías, y mon tados en los mejores caballos, para que los persiguiesen por los distintos ca minos que podían tomar; pero ambos capitanes caminan de acuerdo en sus operaciones, y es como cierto que el empeño de estos oficiale…</t>
  </si>
  <si>
    <t>Castro, Luis López de</t>
  </si>
  <si>
    <t>Luis López de Castro</t>
  </si>
  <si>
    <t>…osef Salvador López del Pan, del Consejo de S. M., alcalde de casa y corte, dada en 4 del corriente mes y año, y refrendada por el es cribano de provincia y comisiones de la misma D. Luis López de Castro , se cita, llama y emplaza á todas las personas ó parientes que se hallen con derecho á los bienes quedados por la fin y muerte intestada de Antonio López, vecino que fue de esta villa, para que en el preciso y perentorio término de 30 dias, contados desde es…</t>
  </si>
  <si>
    <t>…Josef Salvador López del Pan ,del Consejo de S. M., su alcalde de casa y corte , dada en 16 del corriente mes y año, refrendada por el escribano de provincia y comisiones de ella D. Luis López de Castro, se cita, lla ma y emplaza, por término perentorio é improrrogable de 15 dias, contados desde esta publicación, á todos los parientes qué se crean con derecho á los bienes de San tiago Villalba, de estado soltero, que falleció abintestato en el lugar de Vifor…</t>
  </si>
  <si>
    <t>544</t>
  </si>
  <si>
    <t>…ublicación, con curran á la audiencia del Sr. D. Josef Salvador López del Pan, del Consejo de S. M., alcalde de casa y corte, y escribanía de provincia y comisiones de la misma de D. Luis López de Castro, á acreditar en la forma de derecho el que les asista pa ra obtener dicho patronato; con apercibimiento que de no hacerlo les parará el per juicio que haya lugar. En el concurso de acreedores á los bienes de D. Ricardo Gong, que pende en el tribunal del Real…</t>
  </si>
  <si>
    <t>…videncia de 9 del corriente del Sr. D. Josef Salvador López del Pan, del Consejo de S. M., alcalde de casa y corte, refrendada del escribano de provin cia y comisiones de la misma D. Luis López de Castro, se cita, llama y emplaza por término de 30 dias, contados desde su publicación, á todos los que tengan de recho á los bienes del concurso de D. Pedro Casamayor y compañía, y se hallan comprendidos en el prorateo egecutado por los síndicos del mismo en 4 del…</t>
  </si>
  <si>
    <t>…rjuicio que haya lugar. En virtud de providencia del Sr. D. Josef Salvador López del Pan, del Conse jo de S. M., alcalde de casa y corte, dada en 9 del corriente, y refrendada por Don Luis López de Castro, escribano de provincia y comisiones de la misma, se cita, llama y emplaza por el preciso término de 20 dias, contados desde -su publicación, á todos los acreedores á los bienes quedados por la fin y muerte de Doña Manuel* Vitrian, vecina que fue de esta vill…</t>
  </si>
  <si>
    <t>828</t>
  </si>
  <si>
    <t>…oviden&lt;fia de 14 del pasado del Sr. D. Josef Salvador López del Pan , del Consejo de S. M., alcalde de casa y corte, refrendada del escribano de provincia y comisiones de la misma D. Luis López de Castro, se manda citar, llamar y empla zar por tercero y último término ¡mprorogable de 1 5 dias, contados desde esta pu blicación, á todos los que se crean con derecho á ser patronos de la memoria de misas que en el convento de observancia de nuestra Señora del Car…</t>
  </si>
  <si>
    <t>…9 rs. en dinero metálico, y 64289 rs. en recibos de intereses de vales Reales, acuda á la audiencia del señor alcalde de corte D. Josef López del Pan, y escribanía de provincia de D. Luis López de Castro, donde se admitirán las que se hicieren siendo arregladas; y para el remate de la misma casa se halla señalado el dia 27 del corriente a las 11 de su mañana en dicha audiencia y escribanía, cuya postura está efectuada con la condición de rebajarse las cargas…</t>
  </si>
  <si>
    <t>…n Ruiz. Hn virtud de providencia de 20 del corriente del Sr. D. Josef Salvador López del Pan , del Consejo de S. M., alcalde de casa y corte, refrendada del escribano de provincia D. Luis López de Castro, se cita, llama y emplaza por segundo tér mino de 20 dias, contados desde su publicación, á todos los que tengan derecho á jos bienes del concurso de D. Pedro Casamayor y compañía, y no se han presen tado hasta ahora á deducir su acción, y se hallan comprendi…</t>
  </si>
  <si>
    <t>…con sus correspondientes intereses. La persona que qui siere hacer mejora lo egecutará ante el señor alcalde de corte D. Josef Salvador López del Pan, y escribanía de provincia de D. Luis López de Castro, donde se admitirán las que hagan siendo arregladas, y se señala para el segundo remate el dia 18 del corriente á ía salida de los Señores de la sala en la audiencia de dichjo señor y expresada escribanía. De conformidad de Doña Isabel de Ovando , viuda de D.…</t>
  </si>
  <si>
    <t>…al alcance de la junta del Real estudio. Por providencia de 3 del corriente del Sr. D. Josef Salvador López del Pan, del Consejo de S. M., alcalde de casa y corte, refrendada por D. Luis López de Castro, escribano de provincia y comisiones de la misma, se cita, llama y emplaza por el término de 15 días, contados desde su publicación, á todos los acreedores á los bienes quedados por la fin y muerte de Doña Minucia Bitrian, vecina que fue de esta villa, y viud…</t>
  </si>
  <si>
    <t>…videncia de 13 del corriente del Sr. D. Josef Salvador López del Pan, del Consejo de S. M., alcalde de casa y corte, refrendada del escribano de provincia y comisiones de la misma D. Luis López de Castro, se cita, llama y em plaza por tercero y último término de 15 dias, contados desde su publicación , á todos los acreedores de D. Pedro Casamayor y compañía, que hasta el dia no se han presentado á percibir las cantidades de maravedises que les ha cabido en el…</t>
  </si>
  <si>
    <t>…r indisposición del Sr. D. Josef Salva dor López del Pan, también alcalde de casa y corte, despacha su audiencia, y re frendada del escribano de provincia y comisiones de la misma D. Luis López de Castro, se cita, llama y emplaza por tercero y último término de ro dias, conta dos desde su publicación, á todos los acreedores á los bienes quedados por la fin y muerte de Doña Mannela Vitrian, vecina que fue de esta corte, y viuda de D. Va-</t>
  </si>
  <si>
    <t>…osef Salvador López del Pan , del Consejo de S. M., alcalde de su Real casa y corte, dada en 16 del corriente, y refrendada por el es cribano de provincia y comisiones de la misma D. Luis López de Castro, se cita, llama y emplaza por el término de 30 dias á todos los acreedores y censualistas que tengan derecho á los bienes concursados por el diíunto D. Juan de Manteles, veci no de esta villa, para que dentro de dicho término concu trun por sí ó por medio de…</t>
  </si>
  <si>
    <t>…el señor alcalde de corte D. Josef López del Pan, del Con sejo de S. M., dada en 20 de Octubre próximo pasado, y refrendada por el escri bano de provincia y comisiones de la misma D. Luis López de Castro, se cita , lla ma y emplaza á todos los parientes y demas personas que se encuentren con derecho á los bienes quedados por la fin y muerte de D. Ramón Josef Longoria Flores, ca dete que fue de guardias de la Real Persona, lo acrediten en el término de 30 dias…</t>
  </si>
  <si>
    <t>…de esta capital para que llegue á noticia de los mismos interesados. Par providencia del Sr. D. Josef López del Pan , del Consejo de S. M., alcalde de casa y corte, refrendada por D. Luis López de Castro,, escribano de provincia y comisiones de la misma, y para pago de un acreedor se ha mandado sacar á publica subasta unas viñas, tierras y tajón de tálamos, situadas en el término y jurisdicción de la villa de Valdepeñas, cuyos linderos, cabida y valor son del…</t>
  </si>
  <si>
    <t>…mo de Castilla, y juez interventor de la casa y estado&gt; del ex celentísimo Sr. duque de Tatnames, dada en 9 del corriente, y refrendada por el es cribano de provincia y comisiones D. Luis López de Castro , se manda citar y em plazar á todos los acreedores de dicho excelentísimo señor, que hasta el dia no se han presentado, para que en el preciso, perentorio y último término de 30 dias, contados desde esta fecha, concurran al juzgado de intervención y dicha es…</t>
  </si>
  <si>
    <t>1376 misma D. Luis López de Castro, se han mandado sacar á pública subasta por tér mino de 30 días, contados desde esta fecha, dos casas sitas en esta corte , y su calle de la Encomienda, con accesorias á la de las Dos Hermanas, demarcadas con los niims. 4 y 5, manz. 73 , que correspondieron á…</t>
  </si>
  <si>
    <t>Castro, Mariano Alvarez de</t>
  </si>
  <si>
    <t>Mariano Alvarez de Castro</t>
  </si>
  <si>
    <t>…oismo, con arreglo á lo dispuesto por S. M. zz:Relación de la pompa fúnebre que en virtud de Real orden de S. M. se ha egecutado en la capital de Barcelona á los restos del Excmo. Sr. D. Mariano Alvarez de Castro: la da al público por disposi ción del Excmo. Sr. general gobernador D. Andrés Perez de Herrasti, comandante general interino del egército y principado de Cataluña, D. Francisco Satue, espitan efectivo de infantería, condecorado con las insignias de la cruz d…</t>
  </si>
  <si>
    <t>Castro, Pedro de</t>
  </si>
  <si>
    <t>Pedro de Castro</t>
  </si>
  <si>
    <t>205577» 2o8/42 t 112*73* D* Josef de Trasvina, D. Gregorio Sánchez, viuda de ísern é hijo, D. Pedro de Castro, Sres. Lavin y hermano, D. Manuel Ramón de Viilachica, D. Manuel Francisco Aguirre é hijos, D. Vicente Carrasco y Fominaya, Doña Clara Ambite, Juan Antonio Morera, D. Josef Sala y Cam, D. Ig nacio de Arellana, D. Francisco Bolart y Goma, D. Josef Bruquera y C…</t>
  </si>
  <si>
    <t>Castro, Silverio</t>
  </si>
  <si>
    <t>Silverio Castro</t>
  </si>
  <si>
    <t>…a ayudantía del cas tillo de la Mota de S. Sebastian de Guipúzcoa á D. Pedro Ruiz, subteniente del regimiento infantería de Asturias: la del de S. Felices, en Castilla la Vieja, á D. Silverio Castro, sargento primero de Reales guardias de infantería Española: la segunda de la plaza de Santoña á D. Andrés Reyes, subteniente del regimiento de Cantabria; y la capitanía de llaves de la de Palma en Ma llorca al teniente D. Carlos Losé, subteniente del regimie…</t>
  </si>
  <si>
    <t>Cathca</t>
  </si>
  <si>
    <t>…mercaderías de toda especie se ha bían duplicado en Calcuta. Se teme con bastante fundamento que hayan perecido cuatro buques de la India oriental. En i.° de Marzo último el buque lord Cathca^t encontró en el rio de Bengala un barco recien ido de la China, por el que supo que cuatro buques, en el número de los cuales se contaba la Barrosa, habían perecido en aquellos mares. Idem 24. No hay egemplo de tanta inconstancia como experimentan los fondos…</t>
  </si>
  <si>
    <t>Cavalier, Troper</t>
  </si>
  <si>
    <t>Troper Cavalier</t>
  </si>
  <si>
    <t>…M. lo comunico á V. para su inteligencia y cumplimiento. Ma drid 19 de Julio de 1817. En 27 de Abril del año pasado de 1797 fue apresado por el corsario francés Neuf&gt;Thermidor, su capitán Troper Cavalier, y conducido á la ciudad de Málaga el bergantín americano nombrado la Betsy (Isabela), su capitán Gedeon Snow; y ha biéndose suscitado pleito sobre si en dicho apresamiento se había violado el territo rio español, se remitieron los autos al Consejo supremo de…</t>
  </si>
  <si>
    <t>Caver, Vicente García</t>
  </si>
  <si>
    <t>Vicente García Caver</t>
  </si>
  <si>
    <t>…Juan , de resultas de una enfermedad lenta ó crónica, para que dentro del término de 20 dias comparezcan á deducirle por sí ó por procurador de los Reales Consejos, al juzgado del Sr. D. Vicente García Caver®, del Consejo de S. M., su alcalde de casa y corte, y escribanía de provincia de D. Mauricio Justo del Rincón ; que si lo hicieren se Ies oirá y administrará justicia en lo que la tengan, y en otro caso Ies parará el perjuicio que haya lugar. Rimas en honor d…</t>
  </si>
  <si>
    <t>Cavero, Francisco García</t>
  </si>
  <si>
    <t>Francisco García Cavero</t>
  </si>
  <si>
    <t>560</t>
  </si>
  <si>
    <t>…8.° Igualmente se hallarán las dos colecciones de estampas pertenecientes á toda la obra. Instituciones de albeitería y examen de practicantes en ella: dispuestas por el bachiller D. Francisco García Cavero, considerablemente corregidas y mejoradas en esta edición con muchas adiciones que contienen cuantos adelantamientos se han hecho en estos últimos tiempos en el arte de curar las enfermedades del caballo, y con notas del tribunal actual del Real proto-albeite…</t>
  </si>
  <si>
    <t>Cavero, Vicente García</t>
  </si>
  <si>
    <t>Vicente García Cavero</t>
  </si>
  <si>
    <t>…próximo, á las ro de su mañana, en la audiencia del señor auditor de guerra,lo que se anuncia al público respecto ignorarse la exis tencia de los interesados. Por providencia del Sr. D. Vicente García Cavero, del Consejo de S. M., su alcalde de casa y corte, se cita, llama y emplaza á los parientes y demas personas interesadas á los bienes quedados por el fallecimiento intestado de í). Antonio Otazu, presbítero, natural de la ciudad de S. Sebastian, y capellán qu…</t>
  </si>
  <si>
    <t>…rs., incluso el valimiento, han convenido darla los interesados en 40© en moneda metálica; y para su remate se ha señalado el sábado 31 del corriente en el juzgado que despacha el Sr. D. Vicente García Cavero, del Consejo de S. M., su alcalde de casa y corte, por la escribanía de provincia y comisiones de la misma de D. Mauricio Justo del Rincón.—En la misma escribanía existen los títulos de pertenencia de una casa sita en uno de los mejores parages, y con la inme…</t>
  </si>
  <si>
    <t>…glo al que se íes ha hecho en los sitios públicos , diario, y este periódico en Febrero del corriente año, comparezcan dentro de 20 dias á deducir el que les asista al juzgado del Sr. D. Vicente García Cavero, del Consejo de S. M., su alcalde de casa y cor te, y escribanía de provincia y comisiones de D. Mauricio Justo del Rincón, que si asi lo hicieren se les oirá y administrará justicia, y en otro caso se aplicarán di chos bienes conforme á lo determinado en Rea…</t>
  </si>
  <si>
    <t>…uedaron por fallecimiento de D. Alejandro del Conde, del comercio que fue de lienzos de esta corte, para que en él comparezcan á legitimar sus créditos al juzgado de provincia del Sr. D. Vicente García Cavero, del Consejo de S. M., su alcalde de casa y corte, y escribanía de D. Mauricio Justo del Rin cón; apercibidos que de no hacerlo quedarán excluidos, y se procederá á lo demas que haya lugar en derecho. ~ En dicha escribanía de provincia se dará razón de dos ca…</t>
  </si>
  <si>
    <t>…es ordenes. El que hubiese perdido el mes de Julio anterior una muía, que se dice haber si do hallada en tierra de Sepúlveda, acuda en el término de 15 dias ante el señor al calde D. Vicente García Cavero, que dando sus señas, y acreditando su pertenen cia, se le entregará sin exigir derechos algunos. Se desea saber el paradero de D. Pedro Simón de Puerta, oficial que era en el año de l3o8 del archivo del supremo Consejo de la Guerra. La persona que tuvie se n…</t>
  </si>
  <si>
    <t>1128</t>
  </si>
  <si>
    <t>…na de dicha ciudad de Valencia. Quien hubiese perdido en el mes de Agosto anterior un macho que se dice ha ber sido hallado en las inmediaciones de esta corte, acuda ante el señor alcalde D. Vicente García Cavero, que dando sus señas, y acreditando su legitimidad, se le entregará, lo que egecutará en e! término de 15 dias. Se desea saber el paradero de Juan Josef Loeches, natural de la villa de Fuen te la encina, provincia de Guadalajara, hijo de Manuel y Agustina Fer…</t>
  </si>
  <si>
    <t>Cazaux, Lorenzo</t>
  </si>
  <si>
    <t>Lorenzo Cazaux</t>
  </si>
  <si>
    <t>…Zamora al mariscal de campo D. Josef S. Juan : para el de letras de la ciudad de Avila á D. Esteban Rodríguez Gallego, alcalde mayor que era de Guadalajara-*. para el de Estepa á D. Lorenzo Cazaux : para el de Gibraltar á D. Julián Ruiz Marín, alcalde mayor que era de Ubrique: para el de Bedmar á D. Miguel de Luque y Medina: para el de Ponferrada á O. Nico lás Gómez Villaboa , alcalde mayor que era de Villafranca del Vterzo; y para el de Estepona á D.…</t>
  </si>
  <si>
    <t>Ce</t>
  </si>
  <si>
    <t>…inado igualmente á las salidas por la en trada de México, la que evitó con el mayor valor y entusiasmo , lo mismo que por el rumbo de Tulancingo hizo el de la misma clase y cuerpo D. Ce sar Sandoval, situado en el baluarte de S. Josef, como igualmente lo verifi caron los bizarros teniente y subteniente de húsares del territorio D. Manuel y D. Ignacio Madrid, que cubrían las avenidas del tanque y garitón; no por tándose menos bien el valiente…</t>
  </si>
  <si>
    <t>Ce, Josef María</t>
  </si>
  <si>
    <t>Josef María Ce</t>
  </si>
  <si>
    <t>…jas y Sra. Doña María de la Soledad Moreno de Bodega, y los socios D. Josef Felipe Olive y D. Federico Moreti, no habiendo habido lugar á admitir dos mas que ofrecieron los socios D. Josef María Ce las y D. Mariano Vallejo, con lo cual se procedió solo al sorteo del primer premio, que cupo en suerte al discípulo D. Ignacio Clemente. Después de esto el Excmo. Sr. director recomendó á ios discípulos la necesidad de acre ditar en lo sucesivo igual aplicaci…</t>
  </si>
  <si>
    <t>Cean</t>
  </si>
  <si>
    <t>…y de los profesores Pablo de Céspedes, Don Diego Velazquez y D. Antonio Palomino, á 4 rs. cada una.. — Advertencia. El diccionario histórico de los profesores de bellas artes, del señor Cean, también se hallará de venta en la librería de Castillo, frente á las gradas de S. Felipe. El salmo Miserere, traducido y glosado en décimas latinas y castellanas por Don Joaquin Andrés, cura de Calcena, del obispado de Tarazona; obra aunque propia en todo ti…</t>
  </si>
  <si>
    <t>…ar. Véndese en el despacho de libros de la propia academia, calle de Alcalá, con las obras matemáticas de Bails, diccionario de los profesores de las nobles artes en España por el Sr. Cean, antigüedades árabes y otras estampas que están ya anunciadas al público. Historia eclesiástica, ó tratado de la Iglesia de Jesucristo, por el limo. Sr. Don Félix Amat, arzobispo de Palmira &amp;c., en 13 tomos en 4.0 Se hallará con el tomo suelto de los tres índ…</t>
  </si>
  <si>
    <t>Celesti, Pedro</t>
  </si>
  <si>
    <t>Pedro Celesti</t>
  </si>
  <si>
    <t>…s de arroz, 10 de garbanzos, 10 de trigo, y 4 y media de sal. „Dios guarde á V. S. muchos años. Campo de S. Miguel Diciembre 11 de 1816 á las 12 del di-a. = -Luis Quintanar. = Sr. brigadier D. Pedro Celesti no Negrete , comandante general de la primera división. ,, Lo aviso al publico para su satisfacción. Guadalajara 15 de Diciembre de 1816. = Josef de la Cruz.” 4.0 Excmo. Sr.: El capitán D. Juan Antonio Brizuela, comandante mi litar de la villa de Zamora, me d…</t>
  </si>
  <si>
    <t>Celis, Manuel Rubín de</t>
  </si>
  <si>
    <t>Manuel Rubín de Celis</t>
  </si>
  <si>
    <t>…as y deseos de estos nobles habitantes, y realizó los repetidos decretos de S. M., cuyos infatigables desvelos no tienen otro obje to que la prosperidad de sus amados vasallos. El Sr. D. Manuel Rubín de Celis, dignidad de arcediano de Alba, y canónigo penitenciario de esta igle sia catedral, subdelegado de la Real junta de restablecimiento, dirección y gobierno de los colegios mayores, y su comisionado especial para les de esta ciudad, en unión con los cuatro rect…</t>
  </si>
  <si>
    <t>Cente, Buenaventura</t>
  </si>
  <si>
    <t>Buenaventura Cente</t>
  </si>
  <si>
    <t>…cmo. Sr.: Con fecha de ayer tuve el honor de escribir á V. E. lo si guiente por el correo ordinario, que salió á las seis de la misma tarde. „ Acabo de recibir partes y cartas del coronel D. Buenaventura Cente no, comandante del batallón de voluntarios de Castro, y de la expedición que dirigí contra los obstinados y numerosos rebeldes del quebradísimo va lle de Cinti, cuyas copias son las adjuntas que tengo el honor de pasar á manos de V. E. Ellos detallan bastante…</t>
  </si>
  <si>
    <t>Centeno</t>
  </si>
  <si>
    <t>…ndios infieles, y que Arias había dado orden los pasasen á cuchillo si nuestras tropas los per seguían. El escuadrón de húsares de Fernando vn habiéndose separado de Humahuaca del coronel Centeno , por razón de proporcionar pastos para sus caballos en sus jornadas, fue atacado en el volcan y al paso del rio Re yes por fuerzas superiores; en el primer punto no logró mas que dispersarlos por ser al ponerse el sol, y en el segundo consiguió matarles 30 h…</t>
  </si>
  <si>
    <t>Centurión, Juan Bautista</t>
  </si>
  <si>
    <t>Juan Bautista Centurión</t>
  </si>
  <si>
    <t>…icieren siendo arregladas. Por providencia del Consejo Real de 5 del corriente se previene que la persona que se crea con derecho á alguno de los bienes que quedaron por muerte de D. Juan Bautista Centurión, marques que fue de Estepa, acuda en el preciso y perentorio término de 6o dias, que por último término se señala, á presentarlo en el expresa do Consejo supremo y escribanía de cámara de D. Segundo García Cid; con aper cibimiento de que no haciéndolo le para…</t>
  </si>
  <si>
    <t>Cereza.rzHistoria, Narciso Alvaro y</t>
  </si>
  <si>
    <t>Narciso Alvaro y Cereza.rzHistoria</t>
  </si>
  <si>
    <t>…di eccion por Pastrana , Yebra. Quinientas setenta y una reflexiones ó sentencias, y 33 máximas morales de Mr. el duque de Rochefoucault: traducidas del francés al castellano por D. Narciso Alvaro y Cereza.rzHistoria de las guerras de los judíos y de la destrucción del tem plo y ciudad de Jerusalen: escrita en griego por Flavio Josefa, hebreo, y traducida por Juan Martin Cordero, con la vida de Josefo y su retrato grabado por Selma.— El Imperio de la razón y martirio de l…</t>
  </si>
  <si>
    <t>Cervantes, Quijote de</t>
  </si>
  <si>
    <t>Quijote de Cervantes</t>
  </si>
  <si>
    <t>…a castellana de la última edición á 106 rs. en pa pel y 1 26 en pasta.—.La gramática castellana á 8 rs. en papel y 13 en pasta----La ortografía á 5^ rs. en papel y 9 en pasta. —El D. Quijote de Cervantes de !á mag nífica edición de Ibarra á 300 rs. en papel, y cada juego suelto de estampas á 100 rs._La colección de premios de elocuencia y poesía: un tomo en 8.° á 8 rea les en papel y 11 en pasta.__Suplementos á la primera edición del diccionario i real y medi…</t>
  </si>
  <si>
    <t>Cervera, Luis Exarque y</t>
  </si>
  <si>
    <t>Luis Exarque y Cervera</t>
  </si>
  <si>
    <t>…de Cuenca tuvo la honra en el día 19 del pasado á la hora de la corte de felicitar á SS. MM. y AA. por sus au gustos enlaces por medio de sus comisionados, que lo fueron los Sres. Don Luis Exarque y Cervera, canónigo de la metropolitana iglesia de Valencia, caballero pensionado de la Real y distinguida orden española de Cárlos nr, inquisidor honorario de corte, y Secretario por S. M. de su Real capilla , y el conde de Ibangrande, vizconde del Fresno, del Consejo…</t>
  </si>
  <si>
    <t>Cevalios, Pedro</t>
  </si>
  <si>
    <t>Pedro Cevalios</t>
  </si>
  <si>
    <t>…ó de dicho puerto en 28 de Setiembre amenor, y de haberse procedido inmediatamente á su desarme. ^ *i*j j Lo que de Real orden se avisa al público para su tranquilidad. El Exento. Sr. D. Pedro Cevalios, embajador de S. M. Católica cerca de la corte de Viena, tuvo la honra de presentar a S. M. I. sus credenciales el dia 21 del pasado, con cuyo motivo dirigió a aquel Soberano la siguiente arenga. Rey m¡ Amo, deseando que reine entre los dos Gobiernos Ja mejor…</t>
  </si>
  <si>
    <t>Cevallos, Félix de</t>
  </si>
  <si>
    <t>Félix de Cevallos</t>
  </si>
  <si>
    <t>…e i8i7. = Félix de Cevallos.reSr. comandante general brigadier D. Joaquin de Arredondo.” S. E. ha mandado se den las debidas gracias al teniente coronel D. Feli pe de la Garza, al capitán D. Félix de Cevallos y á los demas que mencio nan , ordenando á aquel gefe siga sus operaciones hasta concluir con los mal vados de aquel rumbo y su fortín en Soto la Marina. Madrid 14 de Noviembre. El Real cuerpo de maestranza de caballería de Valencia ha dirigido a S. M. la exp…</t>
  </si>
  <si>
    <t>Cevallos, Juan de Dios</t>
  </si>
  <si>
    <t>Juan de Dios Cevallos</t>
  </si>
  <si>
    <t>…umnos con aplauso y admiración general, á vista de los rápidos progresos que han hecho en solo 5 5 dias de asistencia á la clase. Pre sidió el acto el corregidor de esta ciudad ei coronel D. Juan de Dios Cevallos, zeloso promotor de cuanto tiene relación con el bien estar y fomen to de este vecindario, quien conforme á la censura de los examinadores pu so en manos de los mas sobresalientes los premios ofrecidos, y que allí mis mo se multiplicaron, recayendo el primero…</t>
  </si>
  <si>
    <t>…bilación de D. Benito Saiz de Villegas , á D. Lorenzo Ventura'de Dueñas, alcalde mayor de Alcira; y para el corregimiento político de la ciudad de Antequera, vacante por muerte de D. Juan de Dios Cevallos, al coronel de los Reales egérdtos D. Josef Alfaro. También se ha servido S. M. conceder honores &lt;kl tribunal Real y Apos tólico de la gracia del Excusado á D. Romualdo de Mendoza, canónigo dig nidad de chantre de la santa iglesia catedral de Calahorra. D. Jo…</t>
  </si>
  <si>
    <t>Cevallos, Pedro</t>
  </si>
  <si>
    <t>Pedro Cevallos</t>
  </si>
  <si>
    <t>Gaceta de Madrid n.º 128</t>
  </si>
  <si>
    <t>…en Roma , con quien tuvo largas conferencias. El Príncipe de Kaunitz le acompañó en seguida á Massa-Carrara y á Spezzia. ITALIA. Ñapóles 14 de Setiembre. El Rey dió ayer al Excmo. Sr. D. Pedro Cevallos, embajador de Es paña , su audiencia de despedida. Las aguas termales de Castellamare y de Ischia han sido muy frecuenta das este año á causa de los excesivos calores. Se cuentan en Ischia mas de 2® individuos tanto extrangeros como napolitanos. Roma iy de Se…</t>
  </si>
  <si>
    <t>1242</t>
  </si>
  <si>
    <t>…Pasado mañana llegarán SS. MM. á PeterWaradin, y entrarán en Gratz antes de concluirse el mes.___Se dice que tienen determinado pasar á Munich y á Saltzburgo. Ha llegado el Excmo. Sr. D. Pedro Cevallos, nuevo embajador de Es paña , con cuyo motivo se ha retardado la partida del ministro de Relacio nes extrangeras. Escriben de Milán que el conde de Saurau irá á Lúea el 19 del corriente en calidad de comisario imperial para hacer la entrega de aquel principad…</t>
  </si>
  <si>
    <t>Cevaltos, Félix de</t>
  </si>
  <si>
    <t>Félix de Cevaltos</t>
  </si>
  <si>
    <t>…pensará su mérito. „ Dios guarde á V. S. muchos años. Campo del Coronel Junio 9 de i8i7.= Felipe de la Garza. = Sr. comandante general brigadier D. Joaquín de Arredondo.” 3.0 Del capitán D. Félix de Cevaltos. „Sr. comandante general: Para dar cumplimiento á la orden verbal que V. S. me comunicó á las 11 del dia de hoy, me dirigí con 46 hombres, in clusos los 3 de mi compañía, á las inmediaciones del pueblo de la Marina y fuerte del enemigo, de donde á pesar de al…</t>
  </si>
  <si>
    <t>Ch</t>
  </si>
  <si>
    <t>…me jora del estado físico y moral de los presos. Entre los ingleses que se han embarcado en Douvres para el continente se cita al marques de Douro, hijo del duque de Weliington, á lord Ch. Wellesley , al Príncipe de Castelcicala, al general Inglestone con su familia , á lord Darlington y al general Constant. Hay actualmente en los tribunales 6o causas de falsificación de la moneda nueva. El Príncipe Regente tuvo el 15 de este mes un consejo, e…</t>
  </si>
  <si>
    <t>Chacón, Alvaro</t>
  </si>
  <si>
    <t>Alvaro Chacón</t>
  </si>
  <si>
    <t>…los tenientes generales D. Juan Carra fa , D. Juan Carlos de Areizaga, y conde de S. Agustín de Torohermoso; á los mariscales de campo D. Pedro Ruiz de Torras, D. Tomas O-Donojú, D. Alvaro Chacón y D. Manuel Ladrón de Guevara, y al gefe de escuadra de la Real armada D. JoaquiiLde Molina, en atención á sus constantes ser vicios y mérito. El R ey nuestro Señor, á consulta del supremo Consejo de Hacienda y Junta general de Comercio y Moneda, se ha dignado conceder á D. Josef de Lande…</t>
  </si>
  <si>
    <t>Chacón, Josef</t>
  </si>
  <si>
    <t>Josef Chacón</t>
  </si>
  <si>
    <t>…n ellos el pabellón Real, después de lo cual entregaron entrambos fuertes al general D. Pablo Morillo. En seguida de esto la falta de víveres en aquel punto obligó ai mencionanado D. Josef Chacón á enviar parte de sus buques á Cumaná , para proveer de ellos al egército que puso entonces fin á sus operaciones, las cuales em pezarán de nuevo cuando estos vuelvan, con lo cual confia que en breve con cluirá de exterminar el resto de las cuadrillas insurge…</t>
  </si>
  <si>
    <t>Chacón, Josef María</t>
  </si>
  <si>
    <t>Josef María Chacón</t>
  </si>
  <si>
    <t>…bido en suerte del primer extracto de la de este día á FelipaSandoval, comprendida á la clase de los víctimas del Dos de Mayo. ^ ^ _____--ARTICULO DE OFICIO. El capitán de fragata D. Josef María Chacón, comandante de la corbeta de guerra Bailen , y de la escuadrilla Real de Venezuela , participa entre otras cosas desde Cu maná con fecha de 4 de Noviembre de 1816 al Sr. secretario de Estado y del despacho de Marina lo siguiente: ,, Cinco flecheras enemigas f…</t>
  </si>
  <si>
    <t>…enemi gos, concebí el proyecto de apoderarme de todos ellos á la brevedad posible*, hice subir la artillería desde la boca del rio, cuya operación me activó el capitán de fragata D. Josef María Chacón, comandante de la escua drilla Real, y el 7 amaneció batiendo la cara de la casa fuerte que mira</t>
  </si>
  <si>
    <t>…gefe del estado mayor general. Elogia muy particularmente la ccnducta de los oficiales de la Real arma da, y con especialidad la del coir.ondante de la escuadra capitán de fragata D. Josef María Chacón, el de la misma clase D. Francisco Topete, y el te niente de navio D. Antonio Quintano. Por último hace una distinguida memoria de las recomendables prendas del joven D. Cosme Payés, teniente del regimiento de Navarra, que pereció gloriosamente, y cuya famili…</t>
  </si>
  <si>
    <t>ii79 fes eclesiásticos con su zelo, y los mismos padres contribuyan á poner á la humanidad al abrigo de este contagio! El capitán de fragata D. Josef María Chacón, comandante de marina de Puerto-Cabello, ha dado parte con fecha de 4 y 29 de Junio último de las operaciones que en combinación con el egército ha egecutado con la es cuadrilla de Venezuela que está bajo su mando. De ellas resulta que se ha ocupado continuam…</t>
  </si>
  <si>
    <t>Chacón, Juan</t>
  </si>
  <si>
    <t>Juan Chacón</t>
  </si>
  <si>
    <t>…as para la confesión y comunión; gozos y ofrecimiento del rosario; el Miserere glosado; meditaciones para todos los dias del mes &amp;c,, sa cado de la sagrada Escritura y SS. PP. por D. Juan Chacón, canónigo electo de la santa iglesia catedral de Avila, y predicador de S. M. —Modo práctico y fácil de hacer una confesión general, asi para alivio y expedición de los confesores como de los penitentes, compuesto por el P. Pedro Calatayud, misionero de la Co…</t>
  </si>
  <si>
    <t>Chaitor</t>
  </si>
  <si>
    <t>…uques nuevamente construidos que se estaban preparando con la mayor actividad. Todos estos juntos debían cruzar en los mares de E. y O. de la América meridional, bajo el mando del capitán Chaitor, con pabellón de Buenos-Aires. Cabiendo poca duda en que hayan recibido las mismas instrucciones que las comunicadas al capitán Fisk, es de temer que comerán hostilidades contra los buques portugueses. Ademas de los informes particulares que he adquirido, y c…</t>
  </si>
  <si>
    <t>Chambelán</t>
  </si>
  <si>
    <t>…ón saludable. Idem 2 /. El duque de Wellington y su comitiva, que vienen de París, llegaron ayer á Douvres, y después de haber tomado un ligero refresco partieron para Londres. El lord Chambelán ha comunicado el aviso de que S. M. la Reina ten drá corte en su palacio el 23 de este mes para celebrar el cumpleaños de S. A. R. el Príncipe Regente. Se encarga á las personas que concurran que vayan vestidas de géneros ingleses. Se asegura que el Gobierno…</t>
  </si>
  <si>
    <t>Chana, Miguel</t>
  </si>
  <si>
    <t>Miguel Chana</t>
  </si>
  <si>
    <t>…D. Valentín Ga veta, D. Pedro Martin, D. Antonio Fernandez, D. Andrés Redondo, Don Federico Movilla, D. Bernardo Huelga, D. Esteban Blanco, D. Miguel Alonrso, D. Cesáreo Viguera, D. Miguel Chana, D. Antonio Castro, D. Toribio González, D. Santiago Alonso, D. Tomas Pardo, D. Ignacio Ojero, Don Fernando Movilla, D. Manuel Gómez, D. Francisco Rodriguez, D. Alvaro Chaves, D. Fernando García, D. Bernardino Lorenzo y D. Luis de León. El R. P. prior de Sto.…</t>
  </si>
  <si>
    <t>Chaparro, Fernando</t>
  </si>
  <si>
    <t>Fernando Chaparro</t>
  </si>
  <si>
    <t>…honra de felicitar con igual motivo al Sertno. Sr. Infante D. Carlos. El dia j de Enero tuvieron la honra de presentarse al Rey nuestro Se ñor y de besar su Real mano el teniente coronel D. Fernando Chaparro, capitán del regimiento de infantería de Ordenes Militares, caballero de la Real y militar orden de S. Hermenegildo, condecorado por S. M. Cristianí sima con la flor de Lis, y D. Joaquín María de Aquiió y Molins, teniente del regimiento caballería de Calatrav…</t>
  </si>
  <si>
    <t>Chaves, Alvaro</t>
  </si>
  <si>
    <t>Alvaro Chaves</t>
  </si>
  <si>
    <t>…uera, D. Miguel Chana, D. Antonio Castro, D. Toribio González, D. Santiago Alonso, D. Tomas Pardo, D. Ignacio Ojero, Don Fernando Movilla, D. Manuel Gómez, D. Francisco Rodriguez, D. Alvaro Chaves, D. Fernando García, D. Bernardino Lorenzo y D. Luis de León. El R. P. prior de Sto. Domingo demostró en un discurso que sin la reliion, virtud y buena educación no bastan las leyes á morigerar los pueblos: ). Bernardo de Choya, uno de los jóvenes alumnos, ig…</t>
  </si>
  <si>
    <t>Chinchilla, Juan Josef</t>
  </si>
  <si>
    <t>Juan Josef Chinchilla</t>
  </si>
  <si>
    <t>…dad de Toledo, su Real permiso para que pueda usar de la condeco ración de la ñor de Lis con que le ha agraciado S. M. Cristianísima. El Rey nuestro Señor se ha servido conceder á D. Juan Josef Chinchilla, vecino y fabricante de curtidos de la ciudad de Córdoba, el privilegio de co locar el escudo de las Reales armas sobre las puertas de dicha fabrica y de sus almacenes. Se elabora en ella suela blanca por el estilo de Arcos , Ronda y Bilbao, vaquetas en blanc…</t>
  </si>
  <si>
    <t>Chivras, Joaquín</t>
  </si>
  <si>
    <t>Joaquín Chivras</t>
  </si>
  <si>
    <t>…teniente del regimiento provincial de Tuy : la ayudantía de la plaza de Jaca á D. Matías Peralta, teniente del regimiento de infantería de Burgos, y la sexta de la de Barcelona á D. Joaquín Chivras, alférez del regimiento, de caballería de Alcántara. El empleo de comisario de Guerra á D. Josef Abella Estrada, Por los distinguidos méritos que ha contraído D, Joaquín de Mosquera y Figueroa, del Consejo y Cámara de Indias, y fiscal de la asamblea suprema d…</t>
  </si>
  <si>
    <t>Chocano</t>
  </si>
  <si>
    <t>…e Sanz, calle de las Carretas. Puede ir en carta. En la librería de Ramirez, calle de la Paz, se ha establecido despacho general de música de guitarra, vocal é instrumental por el profesor Chocano, é igualmente está surtido de otras piezas modernas y de gusto para violín, flauta , piano &amp;c., las que mensualmente se irán aumentando considerablemente, recibiéndose encargos de toda clase de música. EN LA IMPRENTA REAL.</t>
  </si>
  <si>
    <t>Chover, Antonio</t>
  </si>
  <si>
    <t>Antonio Chover</t>
  </si>
  <si>
    <t>…eja al mariscal de campo D. Juan Poutous y Mojica: para gobernador militar y político de Zamora ai de la misma clase D. Josef S. Juan: para ayudante de la ciudadela de Valencia al teniente D. Antonio Chover, alférez de caballería, agregado al estado ma yor de la plaza de S. Felipe de Járiva ; y para capitán de llaves de la del Ferrol al teniente D. Wenceslao Otañez, subteniente del regimiento de in fantería de Zamora.</t>
  </si>
  <si>
    <t>Cid, Segundo García</t>
  </si>
  <si>
    <t>Segundo García Cid</t>
  </si>
  <si>
    <t>…que fue de Estepa, acuda en el preciso y perentorio término de 6o dias, que por último término se señala, á presentarlo en el expresa do Consejo supremo y escribanía de cámara de D. Segundo García Cid; con aper cibimiento de que no haciéndolo le parará el perjuicio que haya lugar. El partido de cirujano titular de la villa de Espinoso del Rey , en la provincia de Toledo, partido de la villa de Talavcra de la Reina, se halla vacante: su pobla ción es de 110…</t>
  </si>
  <si>
    <t>Cienfuegos, Nicasio Alvarez de</t>
  </si>
  <si>
    <t>Nicasio Alvarez de Cienfuegos</t>
  </si>
  <si>
    <t>…y 11 en pasta. — Suplementos á la primera edición del Diccionario á real y medio, y á la segunda edición á 6 rs. — Elogio del Excelentí simo Sr. marques de Santa Cruz, escrito por D. Nicasio Alvarez de Cienfuegos , á real y medió en papel.__El Acninta del Taso, traducida por D. Juan de Jáuregui, edición estereotípica, á 4 rs. en papel—La jornada de Carlos v á Túnez, escrita por Gonzalo de Illescas, edición estereotípica, á 2 rs. en papel.-^.Catecismo de la doc trina c…</t>
  </si>
  <si>
    <t>…sef de Vargas y Ponce, á 2§ rs. —Elogio de D. Alonso Tostado, obispo de Avila, por D. Josef de Viera y Clavijo, á 2§ rs.__Elogio del Excmo. Sr. marques de San ta Cruz, escrito por D. Nicasio Alvarez de Cienfuegos, á real y medio en papel._: Elogio histórico del Excino. Sr. D. Juan López Pacheco, marques de Villena, di rector de la academia, por D. Francisco Antonio de Angulo, á 2 rs__ Oración fú nebre que en las exequias celebradas por ia academia en la muerte de su d…</t>
  </si>
  <si>
    <t>Cifuentes, Ramón</t>
  </si>
  <si>
    <t>Ramón Cifuentes</t>
  </si>
  <si>
    <t>…a y activi dad, bien conocidas: al comandante de escuadrón D. Ramón García por ia valentía con que contuvo al enemigo en sus primeros golpes: al capitán co mandante de carabineros D. Ramón Cifuentes, que se portó con la serenidad que acostumbra: al capitán graduado de artillería ayudante del estado ma yor D. Sebastian Diaz; y al capitán de Numancia D. Wintila Navarro, que lo es del coronel Calzada, por la oportunidad y viveza con que comunica ron las órd…</t>
  </si>
  <si>
    <t>Ciiment</t>
  </si>
  <si>
    <t>…rretas, y en Barcelona en la de Sierra, zr Los seis libros de la retórica eclesiástica, escritos en latin por el V. P. Mtro. Fr. Luis de Granada, y dados á luz por orden del limo. Sr. Ciiment, obispo de Barcelona, y vertidos al español: quinta edición: un tomo en 4.0 Se hallará en la librería de la viuda de Quixoga, calle de las Carretas, y en Barcelona en la de la viuda de Plá. Colección de siete estampas que representan los siete pecados mortale…</t>
  </si>
  <si>
    <t>Cini, Juan</t>
  </si>
  <si>
    <t>Juan Cini</t>
  </si>
  <si>
    <t>…batia en brecha, con instrucciones de atacar al ene migo en caso de que intentase su fuga, como era presumible. Dadas estas dis posiciones quedó á mi lado el coronel de Barbastro D. Juan Cini, segundo de la división, á cuyo conocimiento y sabios consejos atribuyo la mayor parte del feliz resultado de la empresa , y el teniente coronel D. Manuel Bausá , gefe interino de estado mayor de la misma, para atender ¿ lo que pu diese ocurrir por la izquier…</t>
  </si>
  <si>
    <t>Cirios</t>
  </si>
  <si>
    <t>…nte obra ; Ñipóles y Roma dispusieron otras; los franceses se dedicaron á traducirla, y el Excmo. Señor conde de Fioridalv-anca , siendo primer secretario de Estado , lo encargó á Don Cirios, hermano del autor, para ilustrar á la nación española, y en todas partes resonó el nombre de Andrés como de un sabio de primer orden. Y asi con razón dijo en su prospecto el editor romano: ,,Es cosa maravillosa que »»una empresa tan vasta, y á que por la inc…</t>
  </si>
  <si>
    <t>…nada equívocas de su grande utilidad. Los dig nos predecesores 'de V. M. han aplicado diferentes remedios al sistema des tructor que se acaba de abolir. Vuestro augusto Abuelo el Sr. D. Cirios 1 li dió-un agigantado impulso á la agricultura, industria y artes en época de mayor abundancia; pero V. M. en el centro de las calamidades y escaseces ha sabido con robusta mano dar á la nación náufraga la tabla del salvamento, el específico que la vigorice,…</t>
  </si>
  <si>
    <t>Ciriza, Josef</t>
  </si>
  <si>
    <t>Josef Ciriza</t>
  </si>
  <si>
    <t>1412</t>
  </si>
  <si>
    <t>…nte Don Elias Izquierdo y Payan, ha decretado en 5 del corriente citar y emplazar á cua lesquiera que se consideren con derecho á los bienes de la masa y concurso de acree dores á D. Josef Ciriza, para que en el término de 10 meses comparezcan á dedu cirlo con los documentos que les comprueben; bajo apercibimiento que pasado di cho término se harán los pagos sin gravamen de fianza, cancelándose las dadas, pa rándoles esto y demas que se actúe el perju…</t>
  </si>
  <si>
    <t>Ciscar, Gabriel</t>
  </si>
  <si>
    <t>Gabriel Ciscar</t>
  </si>
  <si>
    <t>1268</t>
  </si>
  <si>
    <t>…s sean tan teados por solo los dias de su vida, con lo demas que en ella se expresa, Véndese á real en el despacho de la imprenta Real. Curso de estudios elementales de Marina por D. Gabriel Ciscar en 4 cuadernos, que comprenden los tratados de aritmética, geometría, cosmografía y pilotage : se gunda ed icion corregida y aumentada. Se hallará en Madrid en el despacho de la Dirección hidrográfica, calle de Alcalá; en el depósito de Cádiz, casa de la Ca m…</t>
  </si>
  <si>
    <t>Cisneros</t>
  </si>
  <si>
    <t>…ortes; inteli genciados que de no hacerlo asi les parará el perjuicio que haya lugar, y procederá á lo demas que corresponda. Los suscriptores á los Elementos de estrategia por el brigadier Cisneros acudi rán á la librería de Barco, carrera de S. Gerónimo, á recoger el cuaderno i.°, y i suscribirse al 2.0, habiendo accedido el autor á las instancias de varios de dichos suscriptores; se seguirán publicando hasta el numero de ocho, que formarán dos to mos,…</t>
  </si>
  <si>
    <t>Cisñeros</t>
  </si>
  <si>
    <t>…stanciarán en rebeldía los autos con arreglo á derecho, y les parará el perjuicio que haya lugar. Los suscriptores á los Elementos de estrategia, ó ciencia de los generales por el brigadier Cisñeros, se servirán recoger de la librería de Barco, carrera de S. Geró nimo, el cuaderno 2.0, y adelantar ei importe del g.°: este y el 4.0 están conclu yéndose de imprimir, y sigue abierta la suscripción. El decidido mérito y claridad de esta preciosa obra español…</t>
  </si>
  <si>
    <t>Cisneros, Francisco Agustín de</t>
  </si>
  <si>
    <t>Francisco Agustín de Cisneros</t>
  </si>
  <si>
    <t>…da, por D. Efren Lardnaz y Morante, á i\ rs. — Batilo, égloga en alabanza de la vida del campó, por D. Juan Menendez Valdés, á rs. — La felicidad de la'vida del campo, égloga por D. Francisco Agustín de Cisneros (D. Tomas de Inarte), á rs.__Sátira contra los vicios introducidos en la poesía castellana, por D. Juan Pablo Forner, á i\ rs.—Lección poética, sátira sobre el mismo asunto, por Don Meliton Fernandez, á 2§ rs. —Elogio del Rey D. Alonso el Sabio, por D. Josef…</t>
  </si>
  <si>
    <t>Cisneros, Juan Sánchez</t>
  </si>
  <si>
    <t>Juan Sánchez Cisneros</t>
  </si>
  <si>
    <t>…án dirigirse á D. Mariano Sola, alcalde pri mero en dicho pueblo. Principios elementales de estrategia en diálogo entre un general y un subalter no; por el brigadier de infantería D. Juan Sánchez Cisneros, individuo de mérito de varios cuerpos científicos de Europa en la clase de ciencias físicas y naturales: un cuaderno en 8.°, al que se suscribe en la librería de Barco, carrera de S. Geró nimo, á 4 rs. á la rústica. Esta pequeña obra , que-se presenta como e…</t>
  </si>
  <si>
    <t>…en la inteligencia que se ha de proveer dentro de 15 días, contados desde esta publicación. Los suscríptores á las Instituciones del Derecho público del egército por el bri gadier D. Juan Sánchez Cisneros, podrán acudir á recogerlas á la librería de Barco, carrera de S. Gerónimo; en donde también se hallan de venta á 10 rs. para los de mas. Esta obra, presentada á S. M. y A., aunque de corto volúmen, es grande en su objeto, y del mayor interes é importancia á…</t>
  </si>
  <si>
    <t>Cívico, Francisco</t>
  </si>
  <si>
    <t>Francisco Cívico</t>
  </si>
  <si>
    <t>…mpeña cada uno sus deberes. Los jovenes que sobresalieron en todos Tos ramos fueron D. Demetrio Vasconi, D. Francisco Rodríguez Sánchez, D. Mariano Guerrero, D. Josef Vega Serien, D. Francisco Cívico , D. Salvador Mifsud, D. Manuel Gimé nez y D. Diego Meras. Madrid 21 de Febrero» El dia 19 del. pasado tuvo la honra de besar la Real mano de S. M. una diputación de la suprema asamblea de la Real&gt; y distinguida orden de Car los 111; en cuyo nombre dijo : „Se…</t>
  </si>
  <si>
    <t>Clairfait</t>
  </si>
  <si>
    <t>1146</t>
  </si>
  <si>
    <t>…stadt, y sa lir de aiíí el 22 del corriente con dirección á Metradia , donde la corte per manecerá hasta i.° de Octubre. SS. MM. irán el 2 del mismo mes al monte A Ilion, donde el general Clairfait dio una famosa batalla á los turcos en la última guerra que tuvieron con el Austria. El 4 continuarán SS. MM. el via ge á Bisovicz, el 5 á las minas de Szaszka, y el 7 á Oravicza, donde perma necerán hasta el 10, y de allí irán á Verschiez, Pancsnwa, Tettel y…</t>
  </si>
  <si>
    <t>Clancarty</t>
  </si>
  <si>
    <t>…s valientes marinos de que se compone la escuadra del Rey en el Mediterráneo. Idem Hoy han llegado á esta ciudad los coroneles Príncipe de Hesse y el du que de Saxonia X'V’eimar y lord Clancarty , embajador de S. M. británica cerca de la corte de los Países-Bajos. Ayer entró aqui un cuerpo dinamarqués de diferentes armas que viene de Francia, y esta mañana ha marchado hacia Dinamarca por el camino de Amberes. Este cuerpo se compondría de unos 1200 ho…</t>
  </si>
  <si>
    <t>Clau</t>
  </si>
  <si>
    <t>1120 niente corregido? de esta heroica villa, y por la escribanía cfel número de D. Clau dio Sanz, se han formado autos á instancia de D. Francisco Gabriel de Beraza, ve cino del concejo de Güeñes, en las Encartaciones de Vizcaya, sobre reclamación de nueve vales Reales de 600 pesos, creación de i.° de Setiembre, señalados con los números 1394* *…</t>
  </si>
  <si>
    <t>…clamados D. Juan Josef de Ojangurcn, á quien parece pertenecen, en el juzgado del Sr. D. Joaquín Almazan, teniente corregidor de esta muy heroica villa, y escribanía del número de D. Clau dio Sanz, se presentarán en el mismo juzgado y escribanía á deducir los documen tos que acredíten su pertenencia. Para pagar á cierto acreedor, y en virtud de providencia del juzgado de esta ca pitanía general de Castilla la jííueva, se subasta una casa sita…</t>
  </si>
  <si>
    <t>Clavareza, Joaquín</t>
  </si>
  <si>
    <t>Joaquín Clavareza</t>
  </si>
  <si>
    <t>…or un papel alusivo al objeto, que leyó el primer maestro direc tor D. Cayetano Fernandez Villamil. Fueron examinados en aritmética Don Felipe Martínez , D. Antonio Ramón Zarneza, D. Joaquín Clavareza, Don Manuel María Ribero, D. Manuel Diaz, D. Vicente Rey, D. Anronio de Prado, D. Manuel Rodríguez Almeida, D. Fermín del Pedregal y D. Ra món Casal. En álgebra D. Josef Pujadas y D. Fermín Galccran. En geometría el citado Martínez , D. Josef María Loureiro,…</t>
  </si>
  <si>
    <t>Clavijo, Josef de Viera y</t>
  </si>
  <si>
    <t>Josef de Viera y Clavijo</t>
  </si>
  <si>
    <t>…l mismo asunto, por Don Meliton Fernandez, á 2§ rs. —Elogio del Rey D. Alonso el Sabio, por D. Josef de Vargas y Ponce, á 2§ rs. —Elogio de D. Alonso Tostado, obispo de Avila, por D. Josef de Viera y Clavijo, á 2§ rs.__Elogio del Excmo. Sr. marques de San ta Cruz, escrito por D. Nicasio Alvarez de Cienfuegos, á real y medio en papel._: Elogio histórico del Excino. Sr. D. Juan López Pacheco, marques de Villena, di rector de la academia, por D. Francisco Antonio de…</t>
  </si>
  <si>
    <t>Clemente, Ignacio</t>
  </si>
  <si>
    <t>Ignacio Clemente</t>
  </si>
  <si>
    <t>…esta enseñanza; y habiéndose presentado en seguida los discípulos D. Policarpo Aragón , D. Josef Martínez y Yanguas, D. Domingo de Arribas y Cáceres, D. Antonio López de Córdoba, D. Ignacio Clemente, D. Josef Eu genio de Sobrado y D. Manuel María de Sobrado, y sorteándose entre ellos el orden con que debían ser examinados, explicaron la teoría del arte con ar reglo al impreso que se distribuyó entre los concurrentes, y contestaron con aquella soltura y d…</t>
  </si>
  <si>
    <t>…r á admitir dos mas que ofrecieron los socios D. Josef María Ce las y D. Mariano Vallejo, con lo cual se procedió solo al sorteo del primer premio, que cupo en suerte al discípulo D. Ignacio Clemente. Después de esto el Excmo. Sr. director recomendó á ios discípulos la necesidad de acre ditar en lo sucesivo igual aplicación ; manifestó al catedrático socio D. Fran cisco de Paula Martí lo satisfactorio que habia sido al cuerpo ver su zelo y esmero en la in…</t>
  </si>
  <si>
    <t>Clemente, Simón de Rojas</t>
  </si>
  <si>
    <t>Simón de Rojas Clemente</t>
  </si>
  <si>
    <t>…en la librería de Castillo. Ensayo sobre las variedades de Ja vid común, con un índice etimológico y cua tro listas de plantas, en que se caracterizan varias especies nuevas: por D. Simón de Rojas Clemente, bibliotecario del Real jardín botánico de Madrid: un tomo en 4.0 con dos estampas, la una primorosamente iluminada. Se hallará en la librería de Castillo, frente á las gradas de S. Felipe el Real, y en la de Villareal, calle de las Carretas, á 20 rs. en rúst…</t>
  </si>
  <si>
    <t>Climent, Josef María Asensi y</t>
  </si>
  <si>
    <t>Josef María Asensi y Climent</t>
  </si>
  <si>
    <t>…Gosálbes, pre fectos de las dos casas de esta corte de clérigos reglares agonizantes del orden de S. Camilo; D. Rafael Gosalbes, cadete de Reales guardias de la Persona del Rey, y D. Josef María Asensi y Climent, guardia del mismo Real cuer po; de los que el primero dijo á S. M. entre otras cosas: „Señor: La Real villa de Alcoy, de vuestro fidelísimo reino de Valencia, uno de los pueblos mas laboriosos de la península por sus muchas fabricas de paños y de papel, nos…</t>
  </si>
  <si>
    <t>Cobo</t>
  </si>
  <si>
    <t>120</t>
  </si>
  <si>
    <t>…e Bolivar, al mando de un francés llamado JLumine. Poco después fue represada dicha goleta poruña fragata de guerra corsaria del presidente Petion, y devuelta por orden de este al capitán Cobo, quien entre otras cosas ha declarado que Petion tiene dada orden á sus corsarios para que represen todo buque español, y le lleven al primer puerto de su departamento , con el objeto de entregar á sus dueños las embarcaciones reclamadas, justificando su prop…</t>
  </si>
  <si>
    <t>Coca, Antonio</t>
  </si>
  <si>
    <t>Antonio Coca</t>
  </si>
  <si>
    <t>…s: en el reino de Sevilla D. Miguel Baldovi, residente en S. Felipe de Xátiva , para Bornos: en Cataluña Don Ignacio Graells, médico de Carabanchel de abajo, para Caldas deMombuy: D. Antonio Coca, médico titular de la villa de Igualada, para Caldetas: en Extremadura D. Josef Alegre Galan, médico titular de la villa de Campa nario, para Alange: D. Francisco Martinez, médico de número del egérciro, para la Fuente de Loro: en Galicia D. Benito Sanjurjo,…</t>
  </si>
  <si>
    <t>Cochrane</t>
  </si>
  <si>
    <t>…omunicada por la Cámara de los Pares; y habiéndose leído esta segunda vez, fue adoptada por unanimidad. Idem 29. Ayer antes de empezar la sesión del parlamento Mr. Iíunt entregó á lord Cochrane en el patio del parlamento una gran porción de peticiones, solici tando una reforma. Lord Cochrane arengó al pueblo, prometiéndole que de fendería sus intereses en la Cámara de los Comunes, por lo cual fue aplau dido del populacho, y conducido en una silla, c…</t>
  </si>
  <si>
    <t>…aña , que está para mar char á Paris con igual destino, dió el domingo último un espléndido banque te, al que asistió el Príncipe Regente. Los periódicos de la oposición dicen que lord Cochrane ha pedido pres tada la cantidad de t© libras sterlinas para hacer un viage á la América del sur, y que ha comprado un buque grande, que va á armar y equipar con los mejores marineros que encuentre en Inglaterra. Con fecha de 11 de Febrero escriben de S. Juan…</t>
  </si>
  <si>
    <t>…ngham. Las cabezas de partido debían ser Birminghain, Manchester y Leeds con gobiernos parti culares. Sir Francis Burdett estaba designado para ser presidente de esta repúbli ca ; lord Cochrane para ministro de Marina , y sir Roberto Wilson para mandar el egercito. También habían proyectado establecer un nuevo banco, y mudar el cuño</t>
  </si>
  <si>
    <t>Coiomba, Antonio Montero y Santa</t>
  </si>
  <si>
    <t>Antonio Montero y Santa Coiomba</t>
  </si>
  <si>
    <t>…rá en las librerías de Ro dríguez y Matute, calle de las Carretas, y en Zaragoza en la de Sánchez. Diversidades morales, ó entretenimientos de la razón: traducidos del francés por D. Antonio Montero y Santa Coiomba: un tomito en 8.°, impreso en 1786. Véndese á 3 rs. en papel en el almacén de la imprenta Real. EN LA IMPRENTA REAL.</t>
  </si>
  <si>
    <t>Colas, Joaquín</t>
  </si>
  <si>
    <t>Joaquín Colas</t>
  </si>
  <si>
    <t>1083</t>
  </si>
  <si>
    <t>…cto la comunique á V. para su inteligencia y gobierno; de cuyo reci bo se servirá darme aviso. Madrid 27 de Setiembre de 1817. 2.a Enterado el Rey nuestro Señor de la instancia de D. Joaquín Colas, coronel graduado con agregación al estado mayor de la plaza de Ceuta, en solicitud de que se declare si los caballeros de la Real y militar orden de San Hermenegildo deben prestar sus juramentos en las declaraciones que se les pidan sobre la cruz de la espad…</t>
  </si>
  <si>
    <t>Colby</t>
  </si>
  <si>
    <t>…cias de París, ha venido á In glaterra con objeto de acompañar á las islas Oreadas al coronel Meedge en una expedición importante á las ciencias. Acompañarán á estos dos sabios el capitán Colby y el Dr. Gregory , individuo de I3 academia militar de Wolwich, todos los cuales se dirigirán á las Oreadas para hacer simultánea mente las observaciones astronómicas que deben determinar la medida de los triángulos, y para repetir juntos los experimentos rel…</t>
  </si>
  <si>
    <t>…AN BRETAÑA. Londres 19 de Julio. Escriben de Aberdeen con fecha de 12 de este mes lo siguiente: „El Iú-» nes último llegaron á esta ciudad Mr. Biot, el doctor Olynthus Gregory, el capitán Colby y el capitán Mudge, que van á las islas Oreadas para con tinuar sus observaciones astronómicas á fin de determinar la figura de la tier ra. Las autoridades y los individuos del colegio Marishal los han obsequia do mucho, con cuyo motivo dicen los editores del…</t>
  </si>
  <si>
    <t>Collada, Josef Vicente Fernandez y</t>
  </si>
  <si>
    <t>Josef Vicente Fernandez y Collada</t>
  </si>
  <si>
    <t>…xaminadores, á los discípulos siguientes: Primera clase: D. Eusebio Tarancon y Alique, D. Leornardo More no.__Segunda clase: D. Víctor Moya, D. Manuel de Torres___ Tercera clase'. D. Josef Vicente Fernandez y Collada, D. Miguel González___ Los examinadores, admirados de los adelantamientos que en el corto tiempo que llevan de enseñanza manifestaron D. Eusebio Tarancon y Alique, D. Leo nardo Moreno, D. Josef Benito Priego y D. Manuel Castellanos, los cuatro de la primera c…</t>
  </si>
  <si>
    <t>Coloma, Carlos</t>
  </si>
  <si>
    <t>Carlos Coloma</t>
  </si>
  <si>
    <t>…tini Villamarin, oficial en la principal de correos de Cádiz, quien dará á dicha persona bajo la correspon diente certeza 6S&gt; rs, vn. Los anaies de Cornelio Tácito, traducidos por D. Carlos Coloma: segunda edi ción , acompañada dei texto latino: cuatro tomos en 4.0 mayor á 104 rs. cada juego en papel. Véndense en el almacén de la imprenta Real. Los suscriptores á la obra titulada Agronomía, ó Diccionario manual del labra dor, escrita en francés, y trad…</t>
  </si>
  <si>
    <t>Colon, Cristóbal</t>
  </si>
  <si>
    <t>Cristóbal Colon</t>
  </si>
  <si>
    <t>…comisión de felicitar á V. M. por el augusto enlace con la Reina nuestra Señora. Esta isla, primer descubrimiento del nuevo mundo, la dedicó á los Sres. Reyes Católicos su primer almirante D. Cristóbal Colon, poniendo á la capital el nombre de Isabela en obsequio de la Reina Católica, como au tora y protectora de la empresa. Sus pobladores han acreditado la mas cons tante fidelidad á sus invictos Monarcas, como lo probaron en ifSa derro tando las tropas del usurp…</t>
  </si>
  <si>
    <t>Colon, Josef Joaquín</t>
  </si>
  <si>
    <t>Josef Joaquín Colon</t>
  </si>
  <si>
    <t>…a general del reino) tuvo la honra de felicitar á S. M. por el feliz alum bramiento de Ja Reina nuestra Señora, y besar su Real mano una diputa ción del mismo, compuesta del limo. Sr. D. Josef Joaquín Colon, del Con sejo y Cámara de S. M., su presidente , D„ Leonardo Gil de la Cuesta, y Don Bernardo González Alvarez, fiscal y procurador general, y de los cuatro caballeros D. Josef Hidalgo, D. Miguel Lujan, D. Bartolomé Ortiz de Paz y D. Amaro García Olalla, que…</t>
  </si>
  <si>
    <t>Comandante</t>
  </si>
  <si>
    <t>…Dios guar de á V. E. muchos años. A bordo del bergantín goleta Almirante en la mar sobre el puerto de la Havana á 23 de Abril de 1817. = Excmo. Sr. = Ma nuel de los Ríos. = Excmo. Sr. Comandante general de marina de este apos tadero.” Circular del Consejo Real. En 3 de Abril de 1806 se comunicó al Consejo la Real orden siguiente: ,, limo. Sr.: Debiendo pasar algún tiempo antes que el Consejo consulte el plan relativo á la enseñanza de las primeras le…</t>
  </si>
  <si>
    <t>Comba, Juan Martin</t>
  </si>
  <si>
    <t>Juan Martin Comba</t>
  </si>
  <si>
    <t>…edia de la mañana en su audiencia. Por decreto dado en 27 de Mayo último por el tribunal del consulado de co mercio de Cádiz en los autos de concurso de acreedores á los bienes de D. Juan Martin Comba, se cita y emplaza á todas y cualesquiera personas que se consideren con derecho contra la masa de ellos, para que en el término de un año ocurran á formalizarle ante dicho tribunal con los documentos que lo comprueben; bajo aper cibimiento que de no hacerlo…</t>
  </si>
  <si>
    <t>Concha</t>
  </si>
  <si>
    <t>…Excmo. Sr. virey en vista del arrepentimiento de Osorno y sus com pañeros se ha dignado concederles el indulto confórme al último bando de 30 de Enero anterior; y ha contestado al Sr. Concha, dándole gracias, y previniéndole las dé en su nombre al mayor Rafols y capitán Bustamante, á quienes por su actividad y manejo en esta expedición les ha conferido el grado de tenientes coroneles en su clase, mandando también que dé igual mente gracias al mhm…</t>
  </si>
  <si>
    <t>…tencia y cuidado de los pobres enfermos. Estos jóvenes, instruidos en la anatomía, base principal de la medicina y cirugía, * E! mismo dia recibió el Excmo. Sr. virey un parte del coronel Concha, á quien S. E. habla destinado á la persecución y exterminio de estos rebeldes con su ficiente numero de caballería, noticiando que habían ido estos dispersos.</t>
  </si>
  <si>
    <t>Concha, Manuel de</t>
  </si>
  <si>
    <t>Manuel de Concha</t>
  </si>
  <si>
    <t>…de los rebeldes la guar nición de Apan bajo el mando del teniente del regimiento de Zamora D. Se gundo Fernandez de Gamboa, según acredita el siguiente parte que este di rigió al coronel D. Manuel de Concha, quien le ha trasladado al Exeme. Se ñor vi rey. Part-e del teniente D. Segundo Fernandez de Gamboa. ,,En la madrugada del 27 del próximo pasado se me presentaron á esca ramucear unos cuatro rebeldes, y vista su tenacidad ine presumí que estaban sus secuaces…</t>
  </si>
  <si>
    <t>Conde, Alejandro del</t>
  </si>
  <si>
    <t>Alejandro del Conde</t>
  </si>
  <si>
    <t>…de 20 dias, que principian á correr desde el anuncio en la gaceta, se ha mandado citar y emplazar á todas las personas inte resadas á los bienes que quedaron por fallecimiento de D. Alejandro del Conde, del comercio que fue de lienzos de esta corte, para que en él comparezcan á legitimar sus créditos al juzgado de provincia del Sr. D. Vicente García Cavero, del Consejo de S. M., su alcalde de casa y corte, y escribanía de D. Mauricio Justo del Rin cón; aper…</t>
  </si>
  <si>
    <t>Conde, Juan</t>
  </si>
  <si>
    <t>Juan Conde</t>
  </si>
  <si>
    <t>…eñor se ha dignado conceder plaza de ministro de la Cámara de Guerra á D. Francisco Diz, que Jo es del Consejo supremo del mismo ramo: el gobierno de Sra. Isabel de los Pasages al capitán D. Juan Conde, ayudante del regimiento de infantería de la Corona: la ayudantía de Ja plaza de Cardona á D. Ramón Gravoleda, teniente del de Bailen: la del castillo de Monjuich de Barcelona á D. Bernardo Monserrat, subteniente del mismo cuerpo: la segunda de la plaza de Ge…</t>
  </si>
  <si>
    <t>Conde, Wenceslao del Cristo y</t>
  </si>
  <si>
    <t>Wenceslao del Cristo y Conde</t>
  </si>
  <si>
    <t>…probación de S. M. ,ha aceptado esta memoria de la ciudad de Guadix, que le sirve de la mayor satisfacción. . , El Rey nuestro Señor, en atención á los méritos y servicios del Dr. Don Wenceslao del Cristo y Conde, canónigo penitenciario de la iglesia crtedral deja Havana, comisario subdelegado principal de cruzada, y juez exactor dq medias anatas y mesadas eclesiásticas de aquel obispado, ha venido en concederle honores del tribunal de la Rota de la nunciatura apostól…</t>
  </si>
  <si>
    <t>Cóndelle, Nicolás</t>
  </si>
  <si>
    <t>Nicolás Cóndelle</t>
  </si>
  <si>
    <t>…aniego. = Sr. brigadier D. Ciríaco de Llano.” El Excmo. Sr. virey en premio de la bizarra conducta del subte niente del batallón de Guanajuato D. Joaquín Miranda y del distinguido D. Nicolás Cóndelle , se ha servido conceder al primero el grado de tenien te en su clase,y promover al segundo á sargento; teniendo presenté al ciru jano D. Alfonso Velásco para dispensarle oportunamente las gracias corres pondientes á los de su clase. PORMENORES DE LA RENDICIO…</t>
  </si>
  <si>
    <t>Cóndelle, Nieblas</t>
  </si>
  <si>
    <t>Nieblas Cóndelle</t>
  </si>
  <si>
    <t>^ , *273 D. Nieblas Cóndelle cbrt toda la tropa * étiyó fálór y dénüédó méréce aprc,' bacíon. „Dios guarde á V. S. muchos años. Sitio sobré Jonacatlan Marzo 2 de 1817. = Saturnino Samaniego. = Sr. brigadier D. Ciríaco de Llano.” El Excmo. Sr. virey en premio de la bizarra conducta del su…</t>
  </si>
  <si>
    <t>Consaivi</t>
  </si>
  <si>
    <t>466</t>
  </si>
  <si>
    <t>…os á S. S., y se conjetura que están encargados de algunos negocios relativos á los católicos de Irlanda. Parece que han tenido ya fre cuentes conferencias con Mr. Tailor y con el cardenal Consaivi. GRAN BRETAÑA. Londres 13 de Abril, Escriben de Merthyr-Tydwill que los fundidores que últimamente se habían negado á trabajar si no se les aumentaba el jornal, han vuelto ya á sus tareas ordinarias. Muchas personas de las inmediaciones de Ravenglast y de las…</t>
  </si>
  <si>
    <t>Consalvi</t>
  </si>
  <si>
    <t>…emplear las ostras en los tejidos de seda. S. M. ha concedido un premio al autor de este útil invento. Roma i.® de Febrero. El conde de Blacas ha tenido varias conferencias con el cardenal Consalvi. Se dice que irá á Francia monseñor Spina, y que monseñor Simaglia, vi cario general de S. S., pasará á Alemania con una comisión particular. Florencia 4 de Febrero. La policía ha conseguido arrestar á uno de ios asesinos del caballero de Leister, y se espera…</t>
  </si>
  <si>
    <t>…a ciones mientras llega la escuadra portuguesa á Liorna. Como esta tardará todavía algún tiempo, se cree que el Príncipe de Metternich irá entre tanto á Roma á conferenciar con el cardenal Consalvi, y que después volverá á Lior na para entregar á la Princesa á los comisionados portugueses. El Archiduque Ranerio ha quedado encargado del gobierno interior du rante la ausencia del Emperador, á quien da parte diariamente de todo lo que ocurre. El conde Buol…</t>
  </si>
  <si>
    <t>§43 ITALIA. Florencia 4 de Julio. Están tan adelantadas las negociaciones entre la corte de Austria y la Sta. Sede, por conducto del Príncipe de Kaunitz y del cardenal Consalvi, que es probable que el Príncipe de Metternich no tenga que ir á Roma. Para fines de este mes se espera en Liorna á la escuadra portuguesa que ha de llevar á la Princesa del Brasil. El embarque se hará inmediatamente que llegue la escuadra , y en seguida volv…</t>
  </si>
  <si>
    <t>Consejo, Presidente del</t>
  </si>
  <si>
    <t>Presidente del Consejo</t>
  </si>
  <si>
    <t>…o, y que se dis ponga lo correspondiente, á fin de que tenga efecto lo resuelto por S. M. Dios guarde á V. E. muchos años. Palacio 12 de Febrero de 1817. = Juan Lozano de Torres. =Sr. Presidente del Consejo.” El Rey nuestro Señor se ha servido promover al actual alcalde mayor de la villa del Corral de Almagueí D. Francisco de Rivas á igual empleo de la de Totana y Aledo, vacante por fallecimiento de D. Ignacio María de Funes y Ulloa. En la villa de Callosa de Se…</t>
  </si>
  <si>
    <t>…ndráse entendido en el Consejo y Cámara para su cumplimiento en la parte que les tr ca sin dilación alguna. erRubricado de la Real mano. = En Palacio á 16 de Febrero de 1817.=: Al duque Presidente del Consejo.” Circular del Ministerio de Hacienda. El Sr. Secretario del Despacho de Estado me dice con fecha de 9 del an terior lo que sigue: ,, Exorno. Sr. : Por el artículo 18 del tratado de 20 de Julio de 1814 en tre el Rey nuestro Señor y S. M. Cristianísima, debe l…</t>
  </si>
  <si>
    <t>…la Real mano de S.M.= Dado en Palacio á 20 de Febrero de 1817.=A D. Josef Vázquez Figueroa.” El Rey nuestro Señor, con fecha de 28 del mes próximo pasado, se ha servido dirigir al Sr. Presidente del Consejo el Real decreto siguiente: ,jEn consideración á la solicitud que me ha hecho el ayuntamiento de la muy noble, muy leal y muy heroica ciudad de Cádiz á favor de D. Juan Lozano de Torres , mi Consejero de Estado, y Secretario del Despacho de Gracia y Justicia d…</t>
  </si>
  <si>
    <t>Consejo, Presidente del Consejo-----EL</t>
  </si>
  <si>
    <t>Presidente del Consejo-----EL Consejo</t>
  </si>
  <si>
    <t>97 1 á V. E. muchos anos. Palacio i.n de Diciembre de 1816. = Josef Pizarro.= Sr. Presidente del Consejo-----EL Consejo tuvo por conveniente ver el mé todo de estudios que se seguía en el citado colegio de Sto. Tomas, y que in formase la universidad de Alcalá; y en tal estado se comunicó otra Real or den en 30 de Julio próximo manifestando haber resuelto S. M. en 29 que se lle…</t>
  </si>
  <si>
    <t>Consgo, Presidente del Real</t>
  </si>
  <si>
    <t>Presidente del Real Consgo</t>
  </si>
  <si>
    <t>…. Martin de Garay ha trasladado al consejo de Hacienda en sala de gobierno y junta ge neral de Comercio y Moneda la Real órden, que con la misma fecha ha co municado ai Excmo. Sr. duque Presidente del Real Consgo, y es del tenor ■siguiente: Habiendo dado cuenta al Rey de lo expuesto por el secretario de la jun ta de Comercio y Moneda , de acuerdo de la misma, sdbre la visita que man dó hacer la sala de alcaldes á solicitud del gremio de peineros de esta corte, embarga…</t>
  </si>
  <si>
    <t>Constant</t>
  </si>
  <si>
    <t>…inente se cita al marques de Douro, hijo del duque de Weliington, á lord Ch. Wellesley , al Príncipe de Castelcicala, al general Inglestone con su familia , á lord Darlington y al general Constant. Hay actualmente en los tribunales 6o causas de falsificación de la moneda nueva. El Príncipe Regente tuvo el 15 de este mes un consejo, en que se le hizo relación de las sentencias de muerte pronunciadas en la ultima sesión. El tri bunal de Oíd Bayley ha con…</t>
  </si>
  <si>
    <t>Constantino</t>
  </si>
  <si>
    <t>…as tareas de la Dieta germánica, y los ministros que la componen envían con frecuencia correos á sus Soberanos. Las cartas de Varsovia de 30 de Junio anuncian que S. A. R. el gran duque Constantino había partido el dia anterior á Petersburgo para asistir al ceremonial y á las fiestas del matrimonio del gran duque Nicolás. Nuremberg 13 de Julio. Los comandantes rusos situados en diversos puntos del camino militar que se dirige de Francia á Rusia por Alem…</t>
  </si>
  <si>
    <t>…puerto de aquella isla está abierto para to das las naciones que quieran ir allá á hacer el comercio. POLONIA. Varsovia 16 de Junio. El 8 de este mes se publicó una orden del gran duque Constantino, por la que se prohíbe á los oficiales polacos llevar las insignias de las antiguas ór denes de Holanda, de España y de Westfalia. ALEMANIA. Hamburgo 17 de Julio. Según las noticias de oficio que se han recibido aquí de Londres, los bu ques anseáticos represa…</t>
  </si>
  <si>
    <t>…asado el Oder con di rección al reino de Polonia. Estas tropas van á la Rusia meridional, y se in corporarán en el egército del general Benningsen. Según las mismas cartas el gran duque Constantino llegará á Varsovia en todo este mes de vuelta de su viage. SUIZA. Lausana 5 de Agosto. La exportación del ganado y de otros géneros del gran ducado de Badén para la Suiza se ha permitido nuevamente desde el dia 26 de Julio. En Basilea baja diariamente el prec…</t>
  </si>
  <si>
    <t>…mpeñado su encargo con feliz éxito. La cosecha ha sido aquí muy abundante, tanto en las llanuras como en las provincias montañosas. El dia 3 del corriente llegó á Varsovia el gran duque Constantino , y el dia 10 pasará una gran revista á las tropas polacas, para cuyo efecto mar chaban á Varsovia muchos regimientos acuartelados en las provincias. Se ha anunciado en Varsovia que á fines de Noviembre llegaría el Em perador Alejandro á aquella capital. ITAL…</t>
  </si>
  <si>
    <t>Conti, Antonio</t>
  </si>
  <si>
    <t>Antonio Conti</t>
  </si>
  <si>
    <t>…nuel González de la Vega ; á D. Eusebio García , capitán de patriotas distin guidos de Méxicio; á D. Antonio García Jurado; al teniente de navio Don Félix Gastambide ; al teniente coronel D. Antonio Conti, y al capitán de milicias disciplinadas D. Eugenio Gurtubay. El cuerpo general de comercio de la ciudad de Zaragoza ha dirigido á S. M. la exposición siguiente: ,,Señor: La felicidad nace de la abundancia, y esta fija su morada don de hay sistema y se patroci…</t>
  </si>
  <si>
    <t>Contreras, Antonio Alvarez de</t>
  </si>
  <si>
    <t>Antonio Alvarez de Contreras</t>
  </si>
  <si>
    <t>…de Julio de 1817. = YO EL REY. =Yo D. Juan Ignacio de Ayestarán, Secretario del Rey nuestro Señor,la hice escribir por su mandado. = El duque del Infantado. = D. Bernardo Riega. =D. Antonio Alvarez de Contreras. = D. Juan Antonio González CarriIlo. = D. Felipe de Sobrado. = Registrada, Aquilino Escudero. = Teniente de Canciller mayor, Aquilino Escudero. En atención á los distinguidos servicios y mérito del Excmo. Sr. D. Juan Francisco Nuñez del Castillo, brigadier d…</t>
  </si>
  <si>
    <t>Copinger, Josef</t>
  </si>
  <si>
    <t>Josef Copinger</t>
  </si>
  <si>
    <t>…tropas del reino de Goatemala al brigadier D. Antonio Gaspar Blanco, subinspector de infantería del egército expedicionario; y el gobierno de S. Agustín de la Florida al tenien te coronel D. Josef Copinger, que lo desempeñaba interinamente. El Rey nuestro Señor se ha servido conceder al Br. D. Josef Martínez Loaisa, canónigo de la santa iglesia catedral de Segorve, su Real permiso para que pueda usar la condecoración de la flor de Lis, con que S. M. Cris tianís…</t>
  </si>
  <si>
    <t>Cordero, Dionisio Lozano y</t>
  </si>
  <si>
    <t>Dionisio Lozano y Cordero</t>
  </si>
  <si>
    <t>…ro Señor de lo que ha expuesto la Dirección general de Rentas , en vista de la Real resolución que V. E. se sirvió comunicarme en 31 de Mayo último sobre la suspensión temporal de D. Dionisio Lozano y Cordero del destino de Administrador de Vera, y su traslación á otro de lo interior, por las violencias cometidas contra los ma triculados de aquella provincia marítima, infringiendo sus fueros y privile gios á pretexto de evitar el contrabando; y enterado S. M. por…</t>
  </si>
  <si>
    <t>Cordero, Luis</t>
  </si>
  <si>
    <t>Luis Cordero</t>
  </si>
  <si>
    <t>…l castillo de Paso-alto, en la isla de Tenerife, á D. Francisco Martinez, teniente gradua do del regimiento de infantería de Ultonia: la primera ayudantía de la plaza de Sevilla á D. Luis Cordero, que fue nombrado para otro empleo de esta</t>
  </si>
  <si>
    <t>Córdoba, Antonio López de</t>
  </si>
  <si>
    <t>Antonio López de Córdoba</t>
  </si>
  <si>
    <t>…s del cuerpo por proporcionar esta enseñanza; y habiéndose presentado en seguida los discípulos D. Policarpo Aragón , D. Josef Martínez y Yanguas, D. Domingo de Arribas y Cáceres, D. Antonio López de Córdoba, D. Ignacio Clemente, D. Josef Eu genio de Sobrado y D. Manuel María de Sobrado, y sorteándose entre ellos el orden con que debían ser examinados, explicaron la teoría del arte con ar reglo al impreso que se distribuyó entre los concurrentes, y contestaron co…</t>
  </si>
  <si>
    <t>Córdoba, Isabel Antonia Zoa González de</t>
  </si>
  <si>
    <t>Isabel Antonia Zoa González de Córdoba</t>
  </si>
  <si>
    <t>…Fuertes, abogado de los Reales Consejos, y clérigo de menores en esta corte, como capellán cumplidor de Ja memoria de misas que fundó Doña Isabel Gómez, viuda de Sebastian Ruiz, y Doña Isabel Antonia Zoa González de Córdoba, viuda, vecina de esta corte, en concepto de parienta del fundador de dicha memoria. Estos autos se paralizaron con motivo de las ocurren cias de la pasada guerra; y tratándose ahora de su prosecución, se ha mandado por el señor subdelegado general de los cit…</t>
  </si>
  <si>
    <t>Córdoba, Josef Fernandez de</t>
  </si>
  <si>
    <t>Josef Fernandez de Córdoba</t>
  </si>
  <si>
    <t>…ciones, lo cual producirá buenos efectos en favor de la Real hacienda, y en disminuir el número de rebeldes. No puedo menos de recomendar á la consideración de V. E. el mérito del capitán D. Josef Fernandez de Córdoba por el zeio y actividad con que se está manejando, como también la puntualidad con que emprendieron la marcha los oficiales D. Joaquín Gata, D. Domingo Noriega y D. Vicente González, destinados á la sorpresa referida, la exactitud con que observaron las órden…</t>
  </si>
  <si>
    <t>Córdoba, Luis de</t>
  </si>
  <si>
    <t>Luis de Córdoba</t>
  </si>
  <si>
    <t>…que hizo con buen desempeño el corso contra los moros en el Mediterráneo. Declarada al año siguiente la guerra á los ingleses le llevó consigo el comandante general de la escuadra D. Luis de Córdoba en clase de uno de sus primeros ayudan tes, empleándolo en las comisiones de mayor confianza; y le confirió en 1781 el mando de la fragata Bárbara, con la cual, no sin admiración, se le vió mantener los cruceros del Estrecho de Gibraltar en lo mas riguroso de…</t>
  </si>
  <si>
    <t>Córdoba, Ramón de Aguilar Fernandez de</t>
  </si>
  <si>
    <t>Ramón de Aguilar Fernandez de Córdoba</t>
  </si>
  <si>
    <t>…rias de Prada , D. Justo Saenz de S. Pedro, D. Gabriel Ceruelo de Velasco y D. Josef Sacasa. Capellán D. Francisco Carpintero y Eraso. Para el de S. Bartolomé en Salamanca. Rector D. Ramón de Aguilar Fernandez de Córdoba. Consiliario T.° Don Anselmo de Isla Manrique. Idem 2° D. Ambrosio de Velasco y Oraoño Rosales. Idem 3.0 D. Francisco Zapata Bueno. Capellán D. Josef Sendia Calderón. Para el del Arzobispo en Salamanca. Rector D. R amon de Planella y Fivaller. Consiliario i.°…</t>
  </si>
  <si>
    <t>Cornet, Raimundo Fors y</t>
  </si>
  <si>
    <t>Raimundo Fors y Cornet</t>
  </si>
  <si>
    <t>374</t>
  </si>
  <si>
    <t>…de S. E. y Real junta = Fr. Alberto Pujol, se cretario. Er» ía junta literaria celebrada el dia 26 del corriente en la Real acade mia de ciencias naturales y artes de esta ciudad, D. Raimundo Fors y Cornet, socio de número de dicho literario cuerpo en la dirección de química , y supernumerario en la de mineralogía y zoología, licenciado en farmacia, y farmacéutico maj’or del hospital general de la misma, leyó una memoria re lativa á los productos que pueden sac…</t>
  </si>
  <si>
    <t>Corones, Carmen Sala y</t>
  </si>
  <si>
    <t>Carmen Sala y Corones</t>
  </si>
  <si>
    <t>…y Don "Vicente Morera, y de las niñas Doñi María Vicenta Lorente y González, Doña Magdalena Beltran , Doña Jocefa Andrés y Serra, Doña Josefa Bur gués, Doña María Dominga Aparici, Doña Carmen Sala y Corones, Doña Magdalena Prat, Doña Vicenta Vidal, Doña Vicenta Carruana, Doña Isa bel María Morera, Doña Bernarda Palomares y Doña Antonia Chaubet. D espues de esto, habiendo ocupado los premiados el lugar distinguido según costumbre, y cesado la múdea que solemnizab…</t>
  </si>
  <si>
    <t>Corral, María del Carmen</t>
  </si>
  <si>
    <t>María del Carmen Corral</t>
  </si>
  <si>
    <t>…7023 Don Francisco Antonio de Rivacoba : 97319 D. Cayetano Luis Maeso : 98108 y 98291 D. Antonio de la Torre : 98340 D. Cayetano Luis Maeso: 98403 Com pañía de la Buena Fe: 111630 Doña María del Carmen Corral. — De 150 pesos de Enero de i8c8: 227200 D. Francisco Josef Paron: 239881 Don Francisco Antonio de Rivacoba: 309452, 319396, 32815 8 y 33Sl93 Dorl Juan Diaz Hidalgo___ De 600 pesos de Mayo de 1808 : 381471 D Fran cisco Piañas Casal (de Cataluña): 382806 Domin…</t>
  </si>
  <si>
    <t>Correa</t>
  </si>
  <si>
    <t>…nio Rojas , que original acompaño á V. E. para su debido supe rior conocimiento , y que tenga V. E. la satisfacción de saber ia derrota que sufrió el rebelde Rayón por el valiente capitán Correa. „ Reyes Dicreixibre 7 de r8i6ñ las siete de la noche. =Sr. D. Josef An-</t>
  </si>
  <si>
    <t>Correa, Josef Anselmo Rizo y</t>
  </si>
  <si>
    <t>Josef Anselmo Rizo y Correa</t>
  </si>
  <si>
    <t>…or cura Dr. D. JosefEduardo de Cárdenas en la casa de su morada, los dos vecinos honrados capitán retirado D. Domingo Barroso, y el teniente de realistas D. Francisco Quiroga y el diputado D. Josef Anselmo Rizo y Correa , certificamos y damos fe y verdadero testimonio, y en caso necesario lo rubricaremos con nuestra propia sangre, que ni al presente ni en ningún tiempo, ni directa ni indirectamente, ni de cualquiera otro modo este vecin dario ó alguno de sus individuos ha te…</t>
  </si>
  <si>
    <t>Correa, Luis</t>
  </si>
  <si>
    <t>Luis Correa</t>
  </si>
  <si>
    <t>…amora , y que de aíli io hagan á nuestro general, a la Barca y demás pueblos, que en este dia ha sido derrotada completamente la gavilla de Rafael Rayón por el capitán de frontera D. Luis Correa , escapando dicho Rayón di: perso , lo mismo que sus demas satélites. Se les quitaron algunas armas , bastantes caballos ensillados, cuatro cajones de parque y equipages, y se mataron bastantes de la chus ma. Páselo V. bien, y mande á su afectísimo = Pedro Ce…</t>
  </si>
  <si>
    <t>Correa, María Gertrudis</t>
  </si>
  <si>
    <t>María Gertrudis Correa</t>
  </si>
  <si>
    <t>143</t>
  </si>
  <si>
    <t>…ara asuntos importantes la existencia ó fallecimiento de D. Die go Selonf, natural de Cartagena de Levante, avecindado en Guadalajara de Indias, dedicado al comercio, y casado con Doña María Gertrudis Correa, natural de la misma ciudad: si pasó ó no á Veracruz, como pensaba hacerlo en 1800; y en ca so de haber fallecido, si dejó ó no hijos. Las personas que pudiesen comunicar al guna de estas noticias se servirán hacerlo á Doña María de los Angeles Selonf, her ma…</t>
  </si>
  <si>
    <t>Correa, Ramón</t>
  </si>
  <si>
    <t>Ramón Correa</t>
  </si>
  <si>
    <t>780</t>
  </si>
  <si>
    <t>…s, y continuando por aquel desiertoTlegué á S. Fernando de Apure el 13 de Febrero, donde encontré las tropas que manda el interino gobernador de la provincia de Varinas briga dier D. Ramón Correa , y las del teniente coronel D. Salvador Gorrín , que se hablan batido gloriosamense con los cuerpos que atacaron aquel punto fortificado, cuya defensa sostuvieron con el mayor entusiasmo y valentía. La&amp; bandas reunidas de Paez con mas de 800 mugeres, y una e…</t>
  </si>
  <si>
    <t>Correas, Antonia</t>
  </si>
  <si>
    <t>Antonia Correas</t>
  </si>
  <si>
    <t>…on viñas de D. Nicolás de la Canal y de Ambrosio Cabello, de caber 5 aran zadas y 2 10 cepas, en 5522 rs. y 17 mrs.-. otra en donde llaman Camino de Valdecanto, linde con viñas de Doña Antonia Correas, con 5 aranzadas y 318 cepas, en 4Ó36: otra donde llaman el Prado, linde con viña de Ambrosio Cabello y con la pradera, de caber 2 aranzadas y 173 cepas, en 1946; y otra donde llaman la Loba, linde con viñas de D. Manuel Gaviria y D. Tomas de Lanzagorta, de c…</t>
  </si>
  <si>
    <t>…con vinas de D. Nicolás de la Canal y de Ambrosio Cabello, de caber 5 aran zadas y 210 cepas, en 5522 rs. y 17 mrs.: otra en donde llaman Camino de Valdecantos, linde con viñas de Doña Antonia Correas, con 5 aranzadas y 318 cepas, en 4636 rs.: otra donde llaman el Prado, linde con viña de Ambrosio Cabello y con la pradera, de caber 2 aranzadas y 173 cepas, en 1946 rs.; y otra donde lla man la Loba, linde con viñas de D. Manuel Gaviria y D. Tomas de Lanzago…</t>
  </si>
  <si>
    <t>Corres, Miguel de</t>
  </si>
  <si>
    <t>Miguel de Corres</t>
  </si>
  <si>
    <t>…dos, ha dispuesto que recaiga á 1© reales en cada uno de los que se dirán, mereciendo la Real aprobación de V. M., los cuales acudirán á percibirlos con credencial del exponente á D. Miguel de Corres, que vive en la plazuela del Angel, casa núm. 16, cuarto segun do, en cuyo poder los ha mandado librar. Y para que llegue á manos de es tos beneméritos soldados este corto socorro, y á noticia del publico este ras go de patriotismo desde una de las regiones m…</t>
  </si>
  <si>
    <t>Cortazar</t>
  </si>
  <si>
    <t>…asi á quema ropa les hizo la caballería en su alcance, que fue corto por la inmediación del mal pais re ferido. ,,No puedo menos de recomendar á V. E. la intrepidez y bizarría del capitán Cortazar, sus oficiales beneméritos y sus dragones de Moneada , sin olvidar la buena disposición en que se manifestó toda la demas tropa y ofi ciales. „Dios guarde á V. E. muchos años. Valladolid Noviembre 22 de 1816.= Excmo. Sr. = Antonio de Linares. = Excmo. Sr. vir…</t>
  </si>
  <si>
    <t>Cortazar, Luis de</t>
  </si>
  <si>
    <t>Luis de Cortazar</t>
  </si>
  <si>
    <t>583</t>
  </si>
  <si>
    <t>…s, y lo asesinaron , logrando matar 2, de los cuales uno es un López, que se decía capitán. „ El dia siguiente salí para el pueblo de Araron, donde encontré al ca pitán de Moneada D. Luis de Cortazar, y habiéndole entregado 25 dragones de su cuerpo que yo traía, me puse en camino, y llegué aqui á las cuatro de la tarde sin otra novedad. „ Debo recomendar á V. al teniente D. Josef María Perez y Llera, que se empeñó todo lo posible en coger al Cuate, y lo h…</t>
  </si>
  <si>
    <t>…al mismo tiempo que por la parte opuesta lo hacia también parte de la gavilla del re belde referido, encontrándose con mi guerrilla de 100 caballos de Moneada al mando del bizarro capitán D. Luis de Cortazar , quien con sable en mano se echó sobre ellos; mas estos con su acostumbrada cobardía echaron á huir, y aunque se les persiguió con actividad no pudo lograrse una ventaja considerable por los montes y barrancos inmediatos de que está circunvala-</t>
  </si>
  <si>
    <t>…aramuzas: luego conocí que seria una de sus llamadas falsas para atraer una partida corta, y que su fuerza estaría emboscada en la espe sura de los montes inmediatos; y previne al capitán D. Luis de Cortazar, que cubría la retaguardia, que solo en el caso de que se le acercasen demasia do los persiguiese sin alejarse, á fin de que fuese sostenido si se descubrían mas enemigos con oportunidad. El expresado capitán se separo en su perse cución; pero apenas se habia…</t>
  </si>
  <si>
    <t>Cortés, Antonio</t>
  </si>
  <si>
    <t>Antonio Cortés</t>
  </si>
  <si>
    <t>…ltimo dado des de Huaurla. „Dios guarde á V. E. muchos años. Nautla Marzo 10 de i8i7.=Exceíentísimo Sr. = Benito de Armiñan. = Excmo. Sr. virey D. Juan Ruiz de Apodaca.” Parte del capitán D. Antonio Cortés. ,,Como participé ávmd. en mi último oficio, fecha 13 del corriente, em prendí mi marcha el 14 á las cuatro de la mañana con dirección al cantón de Palo Blanco, con la corta fuerza de 65 hombres de infantería y caballería de mi mando, y 25 carabineros que me…</t>
  </si>
  <si>
    <t>Cortina, Andres de</t>
  </si>
  <si>
    <t>Andres de Cortina</t>
  </si>
  <si>
    <t>66</t>
  </si>
  <si>
    <t>…panida de registro ha conducido á este puerto el ro del actual, procedente del de la Guaira, de donde salió el {.o de Mayo último el bergantin la Jtlrinta, al mando de su espitan D. Andres de Cortina, y son los siguir:ntes : tres eclesiásticos seculares y tres regulares. Estos individuos han venido dirigidos á la disposieion del gobernador político y militar de esta plaza. Santander 11 de Junio de r 817' T eodoro = ArguOlosa. 2 .. :1 Por carta dirigida po…</t>
  </si>
  <si>
    <t>Cortina, Joaquín Albert y</t>
  </si>
  <si>
    <t>Joaquín Albert y Cortina</t>
  </si>
  <si>
    <t>^ T 17, D. Joaquín Albert y Cortina: Es perjudicialísimo á la prosperidad publi ca el lujo de ostentación. D. Josef Francisco Genarés: Para que el impuesto sea menos perjudicial debe ser lo mas moderado posible en cuanto á su cuota, y que alcance á to dos con igualdad proporcional. D. Bartolomé…</t>
  </si>
  <si>
    <t>Cortinas, Agustín</t>
  </si>
  <si>
    <t>Agustín Cortinas</t>
  </si>
  <si>
    <t>…ntajosamente nuestras relaciones mercantiles con ella. Demostración física de la espiritualidad é inmortalidad del alma: un tomo en 4.0 í la rústica impreso en la Coruña: su autor D. Agustín Cortinas, vecino del Ferrol. Véndese en esta corte en la librería de Gómez, calle de las Carretas; en Valladolid en la de Santander; en Salamanca en la de Blanco; en Cádiz en la de Pajares; en Orense en la de Gómez; en Santiago en la de Rey Romero; en la Co muña en la…</t>
  </si>
  <si>
    <t>Cos, Antonio</t>
  </si>
  <si>
    <t>Antonio Cos</t>
  </si>
  <si>
    <t>…echo á ocho vales Reales de 150 pe sos, creación de Enero de 1809, señalados con los números 227231, 228197, 228688, 237609, 237761,242504, 252086 y 341073, que fueron endosados í D. Antonio Cos, del comercio de Sevilla, á quien se dirigieron para su renovación por medio de D. Agustín Miret, y en el día los tiene reclamados D. Juan Josef de Ojangurcn, á quien parece pertenecen, en el juzgado del Sr. D. Joaquín Almazan, teniente corregidor de esta muy…</t>
  </si>
  <si>
    <t>Cos, Josef María</t>
  </si>
  <si>
    <t>Josef María Cos</t>
  </si>
  <si>
    <t>…uíz de Apodaca.” Lista de los individuos que se kan presentado implorando la Real gracia del indulto en la demarcación de Mechonean de mi cargo desde i.° de Febrero de 18 ij. „Dr. D. Josef María Cos, que se titulaba teniente general de la provin cia de Mechoacan, y vocal de la llamada junta de los rebeldes; D. Ignacio Sandoval, titulado teniente coronel de la gavilla de Rayón ; D. Éstéban Bar bero, capitán de la misma; D. Cayetano Ibarra, secretario de R…</t>
  </si>
  <si>
    <t>Costas, Antonio Perez</t>
  </si>
  <si>
    <t>Antonio Perez Costas</t>
  </si>
  <si>
    <t>…nos de la Havana, para usar de la condecoración de la flor de Lis con que los ha agraciado S. M. Cristianísima. Asimismo ha concedido S. M. igual permiso, y con el mismo objeto, á D. Antonio Perez Costas, cura párroco de Santiago de Taboadelo. Mercurio de España. Marzo de 1817. Véndese á 4 rs. en el despacho de la imprenta Real. Se suscribe en dicho despacho, y en las provincias en todas las ad ministraciones principales y agregadas de correos. Por el present…</t>
  </si>
  <si>
    <t>Costilla, Antonio</t>
  </si>
  <si>
    <t>Antonio Costilla</t>
  </si>
  <si>
    <t>…n, La Santa Isabel no tuvo ningún muerto ni herido: en el buque enemigo hubo uno de los pri meros y dos de los segundos.” Por el juzgado de Marina de primera instancia sigue autos D. Antonio Costilla alférez de fragata retirado, can D. Pedro Tomas, natural de la ciudad de Mallorl ca, que ha residido muchos años en esta corte, sobre la pertenencia de unas accio nes del Real empréstito de i60 millones, y otras de la compañía de libreros de ella* y habiendo…</t>
  </si>
  <si>
    <t>Cotera, Josef</t>
  </si>
  <si>
    <t>Josef Cotera</t>
  </si>
  <si>
    <t>…. Josef Adan, D. Manuel Huertas, D. Tosef Ro mero, D. Josef Villanueva, D. Francisco Capulino, D. Juan Romero, D. Vicente Brete, D. Nicolás Moreno, y entre estos muy en particular Don Josef Cotera, que entrando en esta academia á la edad de seis años sin cono cer el alfabeto, y contando al presente solos ocho, mereció en estas tareas un lugar distinguido. Por último, el arte de enseñar á los sordo-mudos excitó grande admira ción cuando uno de estos inf…</t>
  </si>
  <si>
    <t>Crespo, Felipe</t>
  </si>
  <si>
    <t>Felipe Crespo</t>
  </si>
  <si>
    <t>…D. Joaquín Cañedo, D. Bernardo García, D. Bernar do Cadenas, D. Agustín Bermejo, D. Tomas Perez, D. Blas Cadenas, Don Juan García, D. Manuel Ribera, D. Máximo y D. Joaquín Vargas, Don Felipe Crespo, D. Francisco Canillas, D. Pedro Miguel, D. Genaro Sal gado, D. Cándido de la Fuente , D. Josef García Vázquez , D. Aquilino Lu nar, D. Pedro Gómez, D. Celedonio Casado, D. Vicente Berdion , Don Joa quín Lumeras, D. Tomas Asensio, D. Mateo Rodriguez, D. Valen…</t>
  </si>
  <si>
    <t>Crespo, Juan de Soria y</t>
  </si>
  <si>
    <t>Juan de Soria y Crespo</t>
  </si>
  <si>
    <t>43^ f de dicha villa, y D. Juan de Soria y Crespo, procurador síndico general por su estado noble; arengando el primero en el modo siguiente: „Señor: La coronada vilia deTordesiilas ,una de las principales en quien siempre existió el deseo de derramar su sangre, y que tantos atropellamientos, insultos y saqu…</t>
  </si>
  <si>
    <t>Criado, Vicente Orti y</t>
  </si>
  <si>
    <t>Vicente Orti y Criado</t>
  </si>
  <si>
    <t>…e la ciudad de Mo lina, y honorario de los Reales egércitos, para Panticosa: en Astiirias Don Cayetano Blanco Casariego para las Caldas de Oviedo ó de Priorio: en el reino de Jaén D. Vicente Orti y Criado, médico de la villa de Castro del Rio, para el Marmolejo : D. Francisco Samartin, médico de número de egército, para la Elísea ó Aliseda : en el reino de Granada D. Francisco Gar cía Malo, establecido en la ciudad de Valencia, para Graena: D. Diego Rodénas, m…</t>
  </si>
  <si>
    <t>Cris</t>
  </si>
  <si>
    <t>478</t>
  </si>
  <si>
    <t>478 ESPAÑA. Madrid 7 de Mayo. El día 29 del pasado tuvo la honra de felicitar áS. M. por su augusto en lace una diputación de la villa de Socuéllamos; y su alcalde mayor D. Cris tóbal Briz y López dijo lo siguiente: „Señor: La escogida de Dios, la nación española, en momentos de su mayor riesgo, tuvo la dicha grande de ver restituido á su seno el iris de paz en la persona de su augusto Soberano. La venida de V. M., Señor, trocó la or…</t>
  </si>
  <si>
    <t>…al público para su inteligencia, Por providencia del Sr. D. Joaquín Almazan, del Consejo de S. M., primer teniente corregidor de esta muy heroica villa, y escribanía del número de D. Cris tóbal de Vicuña, se ha mandado sacar í. pública subasta por término de 30 dias, contados desde&gt; 29 del pasado , la casa: de recreo propia de Ja testamentaría del úl timo señor conde marques de Perales, difunto, sita donde llaman el Salitre, extra muros de est…</t>
  </si>
  <si>
    <t>Cristó</t>
  </si>
  <si>
    <t>…en la calle del Carmen de es ta corte, acuda ante el Sr. D. Joaquín Almazan, del Consejo de S. M., teniente corregidor de esta muy heroica villa, y escribanía propia del número de D. Cristó bal de Vicuña, dentro de 30 dias, contados desde esta publicación, y no concur riendo por sí ó persona con poder bastante á deducir su derecho psado dicho térmi no, se procederá á lo que haya lugar, y le parará el perjuicio que corresponda. Milagro que obró D…</t>
  </si>
  <si>
    <t>Croy, Antonio Palafox y</t>
  </si>
  <si>
    <t>Antonio Palafox y Croy</t>
  </si>
  <si>
    <t>…Soberano, y deseosos de coadyuvar á sus benéficas intenciones, determinaron que se presentasen á examen público los que asisten á las escuelas gratuitas que fun dó y dotó el limo. Sr. D. Antonio Palafox y Croy, y puso bajo la protec ción de dicha Real sociedad. A este fin designaron el dia 30 de Mayo para los exámenes de los niños, y el 2 de Junio para los de las niñas, no pudiendo ser el de estas el 31 de aquel por estar ocupado en celebrar órdenes el Excmo. é lim…</t>
  </si>
  <si>
    <t>Cruz, Andres Santa</t>
  </si>
  <si>
    <t>Andres Santa Cruz</t>
  </si>
  <si>
    <t>…y me resolví á emprender mi marcha á las ocho de la noche del dia de ayer con 300 de infantería y el valiente escua drón de caballería , al mando del teniente coronel de egército comandante Don Andres Santa Cruz, dejando en este punto el hospital, parque y equipages con la compañía de cazadores y asistentes. A las tres leguas de mi marcha destaqué al escuadrón á ocupar la llanura del sitio, trepando yo cautelosa mente con la infantería á tomar la altura dominante del…</t>
  </si>
  <si>
    <t>Cruz, Santa</t>
  </si>
  <si>
    <t>Santa Cruz</t>
  </si>
  <si>
    <t>…nombre de su digno general , y yo el que desea la mayor complacencia, como su mas amante servidor y súbdito que besa la mano de V. E.rrExcmo. Sr.rrBuenaventura Centeno.” P. D. El comandante Santa Cruz remite á V. E. el caballo de Camar-~ go. = Es copia.=Arrieta, secretario. Madrid Jj de Enero. El artículo siguiente inserto en el diario de la H^vana presenta uno de los mas patentes egemplos del entorpecimiento y desorden que sufre la nave gación de América…</t>
  </si>
  <si>
    <t>Cuadrillero, Hermenegildo Fernandez</t>
  </si>
  <si>
    <t>Hermenegildo Fernandez Cuadrillero</t>
  </si>
  <si>
    <t>Para el de Cuenca en Salamanca. Rector D. Hermenegildo Fernandez Cuadrillero. Consiliario i.° D. Juan Pedro Da^uerre y Larroder. Idem 2.0 D. Josef Diaz Rábago. Idem 3.0 Don Josef María Anchuelo y Guzman. Capellán D, León Ramón del Valle. Para el de Oviedo en Salamanca. Rector D. Manuel Luciano Alemán. Consiliario i.° D. Manuel Barrio…</t>
  </si>
  <si>
    <t>Cubero, Juan</t>
  </si>
  <si>
    <t>Juan Cubero</t>
  </si>
  <si>
    <t>…r la mano del limo. Sr. director; fue ron premiados con medallas de plata,de peso de una onza,cuatro de los dis cípulos de latinidad y arte métrica: al profesor de primeras letras D. Juan Cubero se le distinguió con una medalla de oro por haber presentado mayor número de alumnos instruidos en leer, escribir, doctrina cristiana, aritméti ca y ortografía castellana; y por estos mismos conocimientos fueron premia dos con medallas de plata, de peso de un…</t>
  </si>
  <si>
    <t>Cuellar, Francisco</t>
  </si>
  <si>
    <t>Francisco Cuellar</t>
  </si>
  <si>
    <t>…nes al comandante de armas de Huejocingo para la persecución activa de aquella gavilla y su destrucción en lo posible; y á consecuencia me remite dicho comandante el que le dió el teniente Don Francisco Cuellar, que salió en su persecución , y que igualmente acompaño á V. E. „ Dios guarde á V. E. muchos años. Puebla Junio i.°de 1816. = Excelen tísimo Señor.:= Ciríaco de Llano. = Excmo. Sr. virey D. Félix María Calleja.” i.° „Acabo de recibir aviso de que el dia 29 d…</t>
  </si>
  <si>
    <t>Cuellar, Joaquín María de Corral y</t>
  </si>
  <si>
    <t>Joaquín María de Corral y Cuellar</t>
  </si>
  <si>
    <t>326</t>
  </si>
  <si>
    <t>…legada á Córdoba , fue una la diputación del ayuntamiento de la villa de Castro el Rio, compuesta del Lie. D. Antonio María Navarro, alcalde mayor, y presidente de la corporación, D. Joaquín María de Corral y Cuellar, regidor, alférez mayor ,y teniente de corregidor , D. Francisco Antonio Jurado Valdelomar, teniente coronel, y capitán de granaderos del regimiento provincial de Córdoba, y el escribano D. Antonio Martínez de la Cruz. El dia 6 del presente mes felicitó á S.…</t>
  </si>
  <si>
    <t>Cuenca, Josef Fernandez</t>
  </si>
  <si>
    <t>Josef Fernandez Cuenca</t>
  </si>
  <si>
    <t>…pertenecen, y de los que se dispondrá pasado el plazo con arreglo á las leyes. Stubi entró á servir hará 30 anos en el tercer regimiento suizo, hoy de Kaiser. Por fallecimiento de D. Josef Fernandez Cuenca, vecino y del comercio que fue de la ciudad da Sevilla, se han formado autos sobre el inventario y partición de sus bienes ante el Lie. D. Francisco Velloc y Navarro, teniente segundo de asisten te, alcalde mayor por S. M. en dicha ciudad, y por la escribanía…</t>
  </si>
  <si>
    <t>Cuenca, Pedro Fernandez</t>
  </si>
  <si>
    <t>Pedro Fernandez Cuenca</t>
  </si>
  <si>
    <t>…dad, y por la escribanía de su número que egerce D. Francisco de Paula Cáceres; y en providencia de 26 de Marzo próximo se ha mandado citar y emplazar, como desde luego se hace, á D. Pedro Fernandez Cuenca, hermano del D. Josef, por hallarse ausente sin saberse su paradero, ó á los herederos del mismo D. Pedro, para que en el término de un año se presenten á percibir el haber que les ha correspondido como herederos legítimos abintestato del D. Josef; con aperci…</t>
  </si>
  <si>
    <t>Cuesta</t>
  </si>
  <si>
    <t>…de aquel cuerpo pasó á la ciudad de Salamanca, su patria, y fue destinado en ella en clase de ayudante mayor del batallón de soldados cumplidos, creado en la misma por el ca pitán general Cuesta; y habiendo salido para la batalla de Uclés en 1809, fue heri do y hecho prisionero en ella, y conducido á Madrid, de donde se fugó y volvió á reunirse al egército del expresado señor capitán general en Despeñaperros. El que supiere de su paradero ó fallecimi…</t>
  </si>
  <si>
    <t>Cueto, Juan Lorenzo Sánchez</t>
  </si>
  <si>
    <t>Juan Lorenzo Sánchez Cueto</t>
  </si>
  <si>
    <t>…del nú mero D. Tomas María Manrique, se cita, llama y emplaza por término de 30 días, contados desde esta publicación, á D. Manuel Saenz del Prado, D. Lorenzo Fer nandez de León, D. Juan Lorenzo Sánchez Cueto, D. Luis Franco, Doña Librada Perez Escovar, D. Joaquin Antonio Román, los Sres. Alzueta y Beratarrechea, D. Rafael Rodríguez, D. Juan de Dios Elias, los Sres. Bohe, hermanos y compa ñía, D. Mariano de Urbieia, D. Josef Uhicon, D. Ignacio Suarez, D. Francisco…</t>
  </si>
  <si>
    <t>Curtins, Ildefonso de</t>
  </si>
  <si>
    <t>Ildefonso de Curtins</t>
  </si>
  <si>
    <t>1265</t>
  </si>
  <si>
    <t>…den siguiente : ,, Excmo. Sr.: He hecho presente al Rey nuestro Señor cuanto V. E. ha expuesto en su oficio de 4 de Setiembre último , con motivo de la llegada á esta corte del P. D. Ildefonso de Curtins, nionge benedictino del monasterio de S. Martin de Disertina, en el cantón de los Grisones, con la idea de pe dir limosna para la reedificación de su convento, reducido á cenizas por el incendio que egecutaron las tropas francesas en 1799; y habiéndose confor…</t>
  </si>
  <si>
    <t>Czartoriski</t>
  </si>
  <si>
    <t>…nidad. Hízose asi, y ha pasado ya el asunto á la decisión del Sobe rano. El motivo del desafio ha sido haber pedido el conde de Paz la mam de la princesa Ana Sapieha, parienta del príncipe Czartoriski, y habérse: negado. La familia y los amigos tratan de componer amistosamente esta des avenencia. ALEMANIA. Nnremberg 6 de Mayo. Las noticias mas recientes de Turquía, comunicadas en las últimas car tas que se han recibido de Constautinopla, son bastante inter…</t>
  </si>
  <si>
    <t>Czartoriski, Adan</t>
  </si>
  <si>
    <t>Adan Czartoriski</t>
  </si>
  <si>
    <t>…DEL MARTES 3 DE JUNIO DE 1817. POLONIA. Varsavia 28 de Abril. Dias pasados ocurrió aquí un suceso que ha hecho mucha sensación en el público. El 17 de este mes desafió al senador príncipe Adan Czartoriski el conde de Paz, grande hacendado de Lituania, y en otro tiempo general po laco que se distinguió en todas las campañas de los franceses. El príncipe acu dió al sirio aplazado con los generales Mokronowski y Krukoviecki, que iban de padrinos ; y al tiempo de…</t>
  </si>
  <si>
    <t>D, A. F. y</t>
  </si>
  <si>
    <t>A. F. y D</t>
  </si>
  <si>
    <t>…entes é Intermitentes, por D. Antonio Fer nandez, cirujano de la Real familia, y pensionado por S. M. = El mas arrogante esfuerzo de la milicia española: comedia en cinco actos de D. A. F. y D.: un to mo en 8.°~El Heredero: comedia en prosa en tres actos, por D. Francisco Xa vier de Burgos: un tomo en 8.° Estas obras se hallarán en la librería de Dávila, calle de las Carretas. Poesías del Dr. D. Angel Casimiro Govantes, divididas en dos partes. La p…</t>
  </si>
  <si>
    <t>D, Juan</t>
  </si>
  <si>
    <t>Juan D</t>
  </si>
  <si>
    <t>…e Noviembre. S,e ha hecho ya público el motivo de la prisión de los 10 oficiales ingle ses que están para ser juzgados por el tribunal del distrito; y se reduce á lo siguiente. El coronel Juan D.Needham, los capitanes Juan D. Perkins, J. B. Holland y N. Ferrier, los tenientes Ricardo Stazey, Jaime Stázy y Carlos Webster, el cirujano Roberto Fry, el sargento mayor Benjamín Pearkes y Federico Beix, noble cosaco,según dicen, todos los cuales están compli…</t>
  </si>
  <si>
    <t>Dag, Otto-Nattoch-</t>
  </si>
  <si>
    <t>Otto-Nattoch- Dag</t>
  </si>
  <si>
    <t>…nte con motivo de la substrac ción repentina del menstruo que las tenia en disolución. SUECIA. Stockolmo 8 de Marzo. No habiendo comparecido al llamamiento judicial el ex-teniente capitán Otto-Nattoch- Dag, autor de un escrito dirigido á trastornar los principios fundamentales de la sucesión al trono de Suecia y de Noruega, el tribunal de</t>
  </si>
  <si>
    <t>Dagés, Juan</t>
  </si>
  <si>
    <t>Juan Dagés</t>
  </si>
  <si>
    <t>…41 1609 Doña María Antonia Sanz Meri no___ De 30c pesos de Ma) o de 1808: 429525 Sres. Sánchez y Lozano: 441445 y 442975 D Juan Dagés: 446152 Doña María Juliana de Angulo: 484606 D. Juan Dagés: 491660 D. Francisco Antonio de Rivacoba: 492885 y 494253 Sr. tesorero general.__ De 6co pesos de Setiembre de 1808 : 233 y 276 D. Antonio Martínez (de Cuenca) : 3771,6116,8340 y 1 2246 Señor tesorero general.__De 300 pesos de Setiembre de 1808: 34495 D. Manu…</t>
  </si>
  <si>
    <t>Dalmau, Francisco</t>
  </si>
  <si>
    <t>Francisco Dalmau</t>
  </si>
  <si>
    <t>…arratalá; en Málaga en la de Carreras; en Palma de Mallorca en la de Carbonell; en Pamplona en la de Longas; en Bilbao en la de la viuda de Ibarguengoitia, y en Granada en casa de D. Francisco Dalmau, profesor de matemáticas. Nota. En la gaceta anterior página 445 , línea 6, donde dice inexcusable, léase irrecusable: en la misma página, línea 12, en lugar de aumentado léase cimentado; y en la página 446, línea 15, en vez de tratadas, debe decir trazadas.…</t>
  </si>
  <si>
    <t>Dalrnau, Francisco</t>
  </si>
  <si>
    <t>Francisco Dalrnau</t>
  </si>
  <si>
    <t>…ratalá; en Málaga en la de Carreras; en Palma de Mallorca en la de CarboneJT, en Pam plona en la de Longas; en Bi bao en la de la viuda de Ibarguengoitia, y en Grana da en casa de D. Francisco Dalrnau, profesor de matemáticas. Origen, épocas y progresos del teatro español: poema lírico y discurso histórico de adelantamientos, excelencias y demas circunstancias de todas las representaciones teatrales de España , con noticias del tiempo en que fueron inventa…</t>
  </si>
  <si>
    <t>Daoiz, Cayetano Urbina y</t>
  </si>
  <si>
    <t>Cayetano Urbina y Daoiz</t>
  </si>
  <si>
    <t>24 Hería á los caballeros cadetes del colegio militar de Segovia D. Isidro Baeza y Santillana, D. Pedro Lujan y Romero, D. Francisco Lujan y Romero, D. Cayetano Urbina y Daoiz, D. Josef Fuentes y Elias , D. Francisco Zacagnini y Monzon, D. Pablo Tous y Fíol, D. Miguel Jorganes y Mario, D. Antonio Venene y Andrade, D. Julián Gata y Malpica, D. Mariano Canals y May oís, D. Juan Molins y Cabañiés, D. Juan de Dios Valera y Viaña, D. Jo…</t>
  </si>
  <si>
    <t>Darguines, Josef</t>
  </si>
  <si>
    <t>Josef Darguines</t>
  </si>
  <si>
    <t>…andeza y prosperidad del Estado. Madrid u de Junio. El dia 4 de este mes tuvieron la honra de felicitar á S. M. por su augusto enlace , á nombre de la villa de Peñafiel, los Sres. D. Josef Darguines, coronel de los Reales egércitos, y capitán supernumerario del regimiento infantería de Valcnqay; D. Manuel Montalvo y Tabares, coronel del mismo regimiento, y D. Josef María Puente, alcalde de Real casa y corte; el primero de los cuales arengó á S. M. en los…</t>
  </si>
  <si>
    <t>Darillon</t>
  </si>
  <si>
    <t>…os cuer pos á que pertenezcan. También ha mandado el Rey que á los habitantes de St.-Genies se les indemnice de las pérdidas que hayan sufrido con ocasión de dicha turbulencia. El capitán Darillon, que mandaba el destacamento, ha sido reformado sin sueldo , y puesto en consejo de guerra.</t>
  </si>
  <si>
    <t>Darlington</t>
  </si>
  <si>
    <t>…Douvres para el continente se cita al marques de Douro, hijo del duque de Weliington, á lord Ch. Wellesley , al Príncipe de Castelcicala, al general Inglestone con su familia , á lord Darlington y al general Constant. Hay actualmente en los tribunales 6o causas de falsificación de la moneda nueva. El Príncipe Regente tuvo el 15 de este mes un consejo, en que se le hizo relación de las sentencias de muerte pronunciadas en la ultima sesión. El tri buna…</t>
  </si>
  <si>
    <t>Dávila, Josef</t>
  </si>
  <si>
    <t>Josef Dávila</t>
  </si>
  <si>
    <t>427</t>
  </si>
  <si>
    <t>…emente asistidas de la divina protección las vencedoras armas del Rey nuestro Señor, y ayudadas de la especial actividad del señor comandan te general de esta provincia gobernador intendente D. Josef Dávila, han lo grado la importante y gloriosa conquista de la memorable cala de Boquilla de Piedra, que se habla hecho famosa por la importancia que ie han preten dido dar las supercherías de los rebeldes, y el delirio de algunos extrangeros interesados en desterrar…</t>
  </si>
  <si>
    <t>Davoust</t>
  </si>
  <si>
    <t>999</t>
  </si>
  <si>
    <t>…ia le sustituye en su empleo cerca de la persona del Rey el mariscal duque de Tarento, el cual ha pasado hoy re vista de inspección á la guardia. Hoy ha sido presentado á S. M. el mariscal Davoust, príncipe de Eckmiilh, y se asegura que mañana domingo recibirá de mano dei Rey el bas tón de mariscal de Francia, Por sentencia del tribunal de León del 22 del corriente ban sido conde nados, por cómplices de la rebelión que se manifestó el dia 8 de Junio ul…</t>
  </si>
  <si>
    <t>Davy</t>
  </si>
  <si>
    <t>…6 hechos siguientes, que son el resultado de mis indagaciones particulares, y que tengo la honra de poner en consideración de V. ,,El 18 de Noviembre ultimo la fragata Clifton, su capitán Davy, ar mada de 38 piezas de artillería de diferentes calibres, y tripulada por 2co hombres, dio la vela de Baltimore para Buenos-Aires. Este buque estuvo fondeado cerca de este último puerto por espacio de 15 dias 6 mas esperan do al buque americano la Independe…</t>
  </si>
  <si>
    <t>Dcstutt</t>
  </si>
  <si>
    <t>…cha villa en el término de un mes. Principios de economía política, considerados por las relaciones que tienen con, la voluntad humana, Scc.: obra escrita en francés por el Excmo. Sr. Dcstutt, conde de Tracy, par de Francia, miembro del Instituto nacional y de la sociedad filosó fica de Filadelfía, y traducida al castellano por D. Manuel María Gutiérrez, indi viduo de varios cuerpos literarios. Se hace ver en ella que el estado social es el na tur…</t>
  </si>
  <si>
    <t>Decaen</t>
  </si>
  <si>
    <t>…r la gracia de Dios &amp;c. A todos los que las presentes vieren sa lud : Habiéndonos dado cuenta nuestros ministros de Justicia y de Guerra del estado del proceso formado al teniente general Decaen por el primer con sejo de guerra de la primera división militar, y oido el informe del referido ministro de Justicia, hemos visto que asi por ia naturaleza de ios hechos que se imputaban al acusado, como por las declaraciones é informes recogidos, y en especi…</t>
  </si>
  <si>
    <t>Delgado, Rafael Muñoz y</t>
  </si>
  <si>
    <t>Rafael Muñoz y Delgado</t>
  </si>
  <si>
    <t>…e su instituto los exámenes de maestros que se presentaron en ellas en la forma que se les encargó en la citada circular. En este estado y en n de Junio de 1816 ocurrió al Consejo D. Rafael Muñoz y Delgado, natural de la ciudad de Córdoba presentando certifica ción de haber sido aprobado por la junta de exámenes de maestros de prime ras letras establecida en esta capital para egercer dicho magisterio en todos los pueblos del reino que no pasen de 1$ vecinos, y…</t>
  </si>
  <si>
    <t>…pedida por la secretaría de Estado en 20 de Noviembre de 1815 , y que subsista en su fuerza y vigor lo mandado en las leyes y referida circular de 4 de Julio de 1806, expidiendo á D. Rafael Muñoz y Delgado, y demas que se pre senten en igual caso, el correspondiente título sin limitación de pueblos ni otra restricción alguna. Lo que participo á V. de orden del Conseja para su inteligencia, y que disponga su cumplimiento en esa capital; dándome aviso del recibo…</t>
  </si>
  <si>
    <t>Delgado, Vicente</t>
  </si>
  <si>
    <t>Vicente Delgado</t>
  </si>
  <si>
    <t>…instruidos pudiesen trasladarse á la escuela gratuita de la ciudad á escribir, contar, y tomar nociones de la gramática castellana y ortografía, bajo la enseñanza de su benemérito profesor D. Vicente Delgado. Con estas ideas, y las de manifestar al público que sus desvelos en esta parte no han sido infructuosos, acordó que los candidatos de entrambas es cuelas se presentasen á exámenes públicos el 21 y 22 del mes de Julio; los primeros en la sala capitular del co…</t>
  </si>
  <si>
    <t>Denche, María</t>
  </si>
  <si>
    <t>María Denche</t>
  </si>
  <si>
    <t>…salientes en saber la doctrina cristiana y los demas puntos de su enseñanza, para lo cual fueron preferidas de las escuelas de niñas la gratuita que sostiene la so ciedad, y la de Doña María Denche, que la desempeña con particular esmero y aprovechamiento , y de las de niños las que mantiene á sus expensas el limo. Sr. obispo, nuestro director, quien ha contribuido en gran parte á los gastos de esta sesión solemne. En seguida se presentaron al concurso…</t>
  </si>
  <si>
    <t>Deportes</t>
  </si>
  <si>
    <t>El preboste del Allier, vizconde Deportes, al frente de nn piquete de 10 cazadores de á caballo que le servian de escolta, rompió el centro de una par tida de 1200 á 1500 hombres que se habían reunido en Borbon de Archambault el 7 de Mayo, la mayor parte de los cuales estaban armados de palos, picas…</t>
  </si>
  <si>
    <t>Dernath</t>
  </si>
  <si>
    <t>…guerra de los países extrangeros en el puerto franco de Sto. Tomas en las Indias occidentales.” La misma resolución ha sido comunicada á dicho Sr. ministro de Estado por el señor conde Dernath, enviado extraordinario de Dinamarca en esta corte, no pudiendp menos de ser muy satisfactorio á nuestro amado Sobe rano el ver de este modo atendidas sus justas solicitudes dirigidas á que ten ga fin el desorden con que los especuladores particulares, llevad…</t>
  </si>
  <si>
    <t>Dernath, Magnas de</t>
  </si>
  <si>
    <t>Magnas de Dernath</t>
  </si>
  <si>
    <t>…me diados de este mes, donde esperan al Rey de Prusia para el 13. Todas las tropas prusianas están ya en movimiento para la gran revista que se prepara. Idem 8. Ha llegado aqui el conde Magnas de Dernath , enviado extraordinario del Rey de Dinamarca cerca del Rey de España , que pasa á su destino. Desde ayer acá han venido también muchos caballeros ingleses. FRANCIA. Parts 11 de Agosto. Ayer recibieron de manos del Rey las birretas cardinalicias enviadas por…</t>
  </si>
  <si>
    <t>Descallar, Francisco Xavier de Duran y</t>
  </si>
  <si>
    <t>Francisco Xavier de Duran y Descallar</t>
  </si>
  <si>
    <t>Í024 En virtud de providencia dada por el Real / supremo Consejo de Castilla en 18 de Agosto último, á solicitud de D. Francisco Xavier de Duran y Descallar y Do ña Rosa de Duran y de Moner, consortes y vecinos de la ciudad de Barcelona , en los autos que penden ante el mismo supremo tribunal en grado de segunda supli cación con D. Francisco Castelis y Posas, vecino de la villa de Esparraguera, en Cataluña, y con D. J…</t>
  </si>
  <si>
    <t>Despacho, Secretario del</t>
  </si>
  <si>
    <t>Secretario del Despacho</t>
  </si>
  <si>
    <t>479</t>
  </si>
  <si>
    <t>…y Justicia ha comunicado al Consejo por medio del limo. Sr. decano de él, con fecha n de este mes, la Real orden que dice asi: „Ilmo. Sr.: Con fecha de 5 del corriente me dice el Sr. Secretario del Despacho de la Guerra lo siguiente: Al inspector general de milicias digo con esta fecha lo siguiente: He dado cuenta al Rey nuestro Señor del oficio de V. E. de i.° de este mes, en que manifiesta haber cesado los motivos que tuvo para proponer el establecimiento de l…</t>
  </si>
  <si>
    <t>…con fecha 27 de Noviembre del año próximo pasado por medio del Excmo. Sr. duque del Infantado, presidente del mismo supremo tribunal, la Real orden que dice asi: „ Excmo. Sr.: El Sr. Secretario del Despacho de la Guerra me dice en 30 de Octubre último lo siguiente: Al Sr. capitán general de Castilla la Vieja di go con esta fecha lo siguiente: „He hecho presente al Rey cuanto V. E. ex puso en 23 de Enero y 17 de Febrero últimos, con motivo de una contrata particu…</t>
  </si>
  <si>
    <t>…cia y Justicia, con fecha 17 del corriente mes, ha comuni cado al Consejo por medio del Excmo. Sr. duque del Infantado, su presi dente , la Real orden que dice asi: Excmo. Sr.: El Sr. Secretario del Despacho de la Guerra me dice en ofi cio , su fecha 4 del corriente, lo que sigue: Ai Sr. Secretario del Despacho de Hacienda digo con esta fecha lo si guiente: ,, Para que el nuevo sistema de Real Hacienda tenga el éxito que el Rey nuestro Señor se propuso al expedir…</t>
  </si>
  <si>
    <t>…ade cimientos por este rasgo de beneficencia, justicia y economía política con que distingue la época de su reinado prodigioso, y ocurre al alivio y felicidad de sus pueblos.'* El Sr. Secretario del Despacho de la Guerra acaba de recibir del general en gefe del egército expedicionario de Costa-firme D. Pablo Morillo partes oficiales desde sus cuarteles generales de Cum3ná y de Pampatar, en la isla Margarita, que alcanzan hasta el 30 de Mayo de este año: en ellos…</t>
  </si>
  <si>
    <t>Despujol, Josef María</t>
  </si>
  <si>
    <t>Josef María Despujol</t>
  </si>
  <si>
    <t>…ron el honor de ser admitidos á besar la mano á S. M., en calidad de comisionados por el canciller de competencias del principado de Cataluña, los sumilleres de cortina y oratorio D. Josef María Despujol y D. Agustín de Fivaller; el primero de los cuales dirigió la pala bra á S. M. en los términos siguientes: : ,,Señor: La Iglesia, singularmente en España, siempre agradecida ,'nun ca ingrata á la protección yle los Monarcas, se vale de ia corta mocion de estos sus débiles ministros p…</t>
  </si>
  <si>
    <t>Desvaíls, Josef Amat y</t>
  </si>
  <si>
    <t>Josef Amat y Desvaíls</t>
  </si>
  <si>
    <t>…ls y May oís, D. Juan Molins y Cabañiés, D. Juan de Dios Valera y Viaña, D. Josef Zizur y Azanza, D. Tomas Mones y Puertas, D. Miguel Zizur y Azanza, D. Joaquín Basols y Marañosa, D. Josef Amat y Desvaíls, D. Pablo Navas y Loigorri, D. Josef Navarro y Alarcon , D. Agustín Blake y Tovar, D. Josef Romero Dorado, D. Manuel Vega y Romero, D. Al varo de Navia y Osorio, D. Juan de ia Lastra y Mata, D. Dionisio Sierra y Abello, D. Antonio Jácome y Villena, D. Antonio…</t>
  </si>
  <si>
    <t>Dewries</t>
  </si>
  <si>
    <t>…edro Pons, español, de Alejandría, con habones , 30 idem. 31. Navio de guerra Guillaume Premier,almirante Wambraham, holan dés, de Nápoles, 15 idem. 32. Bergantín de guerra Irene, capitán Dewries, holandés, de Ñápe les, 15 idem. 33. Jabeque S. Antonio , patrón Nicolás Picaluga, español, de Marsella, con carbón de piedra , 10 idem. 34. Fragata Union, patrón Miguel Neto,, español, de Chipre, con tri go y cebada, 30 idem. 35. Bergantín Escuna Jorward, pa…</t>
  </si>
  <si>
    <t>Diaz</t>
  </si>
  <si>
    <t>…s de los insurgentes, se hace increible por su to no hiperbólico y fanfarrón. Por egemplo, se lisonjea de una victoria, en que cinco lanchas cañoneras insurgentes, mandadas por un capitán Diaz , se encontraron con 19 buques españoles, y los vencieron. En otro pasage del parte de Brion se nos dice que el 3 de Agosto 28 buques españoles, la ma yor parte de ellos grandes , hicieron infinitos esfuerzos para bajar el rio y escaparse ] Escaparse! ¿de qui…</t>
  </si>
  <si>
    <t>Diaz, Julián</t>
  </si>
  <si>
    <t>Julián Diaz</t>
  </si>
  <si>
    <t>…choa: 22806 D. Pedro Ormaechea: 22900 D. Gabriel Aragón; y 63835 y 66225 D. Manuel Callejo de Alba: de 600 pesos de i.° de Mayo de 1808, núms. 391730 Doña Catalina Gómez; y 412136 D. Julián Diaz: de 300 pesos de idem, niims. 477420 y 476798 Doña María Ignacia Galarza; los cuales se hallan reclamados por D. Bonifacio Doz y la Cerda, vecino de Tarazona, en Aragón, por sí y como heredero de su padre D. Jaime Doz, para que dentro del término de 30 dias p…</t>
  </si>
  <si>
    <t>Diaz, Manuel</t>
  </si>
  <si>
    <t>Manuel Diaz</t>
  </si>
  <si>
    <t>…er maestro direc tor D. Cayetano Fernandez Villamil. Fueron examinados en aritmética Don Felipe Martínez , D. Antonio Ramón Zarneza, D. Joaquín Clavareza, Don Manuel María Ribero, D. Manuel Diaz, D. Vicente Rey, D. Anronio de Prado, D. Manuel Rodríguez Almeida, D. Fermín del Pedregal y D. Ra món Casal. En álgebra D. Josef Pujadas y D. Fermín Galccran. En geometría el citado Martínez , D. Josef María Loureiro, D. Manuel María Vicario , Don Cosme Arias…</t>
  </si>
  <si>
    <t>Díaz, Pedro Antonio</t>
  </si>
  <si>
    <t>Pedro Antonio Díaz</t>
  </si>
  <si>
    <t>…consulta de la Cámara se ha declarado vacante la escribanía del número y ayuntamiento de la villa de Aravaca, provincia de Ma drid, tasada en 4© rs. vn., que servia interinamente D. Pedro Antonio Díaz , man dando que se confiera solo por los dias de la vida de dicho Diaz, y sirviendo á S. M. con las dos terceras partes de su valor; debiendo hacer ademas los pretendientes una justificación de su aptitud, fe de práctica, buena vida y costumbres, conducta pol…</t>
  </si>
  <si>
    <t>Diaz, Rafael</t>
  </si>
  <si>
    <t>Rafael Diaz</t>
  </si>
  <si>
    <t>3°3 pasado, y otra expediciónrmandada por mi oficial de órdenes, el alférez de navio D. Rafael Diaz, apresó las otras dos sobre Sta. Fe, unas y otras des pués de una obstinadísima resistencia. Recomiendo á V. E. para que lo haga á S. M. el mérito que en ambas operaciones contrajeron Guerrero y Diaz, así como el alférez de fragata D. Josef Figueroa, que fue…</t>
  </si>
  <si>
    <t>Diaz, Sebastian</t>
  </si>
  <si>
    <t>Sebastian Diaz</t>
  </si>
  <si>
    <t>…imeros golpes: al capitán co mandante de carabineros D. Ramón Cifuentes, que se portó con la serenidad que acostumbra: al capitán graduado de artillería ayudante del estado ma yor D. Sebastian Diaz; y al capitán de Numancia D. Wintila Navarro, que lo es del coronel Calzada, por la oportunidad y viveza con que comunica ron las órdenes y ocurrieron á todos los puntos despreciando, los peligros; siendo en general digno de aprecio el mérito que han. contraí…</t>
  </si>
  <si>
    <t>Dicroh, Francisco</t>
  </si>
  <si>
    <t>Francisco Dicroh</t>
  </si>
  <si>
    <t>…at, subteniente del mismo cuerpo: la segunda de la plaza de Gerona al teniente D. Pedro de la Muda, subteniente del regimiento de infantería de Africa: la primera de la de Rosas á D. Francisco Dicroh, alférez de dragones de la Reina : la segun da de la misma plaza á D. Gines Cánovas, sargento primero de dragones de Almansa; y la segunda de la plaza de Lérida á D. Josef María Faura, alférez del regimiento de caballería de Farnesio. En América. La subinspec…</t>
  </si>
  <si>
    <t>Die</t>
  </si>
  <si>
    <t>…anías de Segovia, acudirá á tratar de ajuste con las monjas Domini cas de dicha ciudad á quien pertenecen. Se desea saber para asuntos importantes la existencia ó fallecimiento de D. Die go Selonf, natural de Cartagena de Levante, avecindado en Guadalajara de Indias, dedicado al comercio, y casado con Doña María Gertrudis Correa, natural de la misma ciudad: si pasó ó no á Veracruz, como pensaba hacerlo en 1800; y en ca so de haber fallecido,…</t>
  </si>
  <si>
    <t>Diego</t>
  </si>
  <si>
    <t>…e haber fallecido, si dejó ó no hijos. Las personas que pudiesen comunicar al guna de estas noticias se servirán hacerlo á Doña María de los Angeles Selonf, her mana del expresado D. Diego, avecindada en la ciudad de Murcia. Guia del estado eclesiástico para el año de 1817. Se hallará en el despacho de la imprenta Real. El amante de los labradores, ó tratado de las grandes ventajas que los labradores en particular y el estado en general pueden…</t>
  </si>
  <si>
    <t>…ncisco de Reina 10: Juana Montilla 10: Francisco Moyano 20: Fran cisco de Luque ?o: Miguel Palomo 25: Alonso Atañe 8: María Montilla 8: D. Joaquín de Lara 80: D. Antonio Duran 80: D. Diego de la Huerta 40: Juan Tardan 10: viuda de Hernández é hijos y compañía 1®: Martínez, sobrino y compañía 600: Felipe de Burgos 10: Manuel Aguilar 10: Ma nuel Abad ió: Antonio Martin Bervemejo 100: Andrés de Sierra 10: Juan de Sierra 10: D. Juan Labordeta 100:…</t>
  </si>
  <si>
    <t>…¡a Real armada, y capitán general del departamento del Ferrol, y al príncipe Barberini. Cruces de mímero ,. A D JosefVilIaluengayMarfil, ministro jubilado del consejo de lodías, a D. Diego de la Vega .oficial de la secretaría del despacho de Ma*" r“‘ r “»*/ Cruces supernumerarias „ ,A D* Man. a,no García Puerta, veinticuatro de Granada ; D. Tosef Mariano Cabanes, regidor perpetuo de Barcelona; D. Francisco de Valle-Roldan, decano de la Rota de…</t>
  </si>
  <si>
    <t>…canónigo de la metropolitana de Zaragoza: á Don Francisco Castilla, deán de la catedral de Badajoz: á D. Juan Antonio Prada, canónigo tesorero de la metrepolitana de Sevilla; y á D. Diego de la Torre, canónigo de la santa iglesia primada de Toledo. Plaza de juez mayor de Vizcaya en la chancillería de Valladolid á Don Juan Arguelles Valdés. El Rey nuestro Señor por su Real decreto de i o de este mes se ha dig nado conceder honores de la Cámara…</t>
  </si>
  <si>
    <t>Diericke</t>
  </si>
  <si>
    <t>…próximo. Hace ocho dias que se experimentaba aqui un calor extraordinario, y ayer cayó una gran nevada. P RUSIA. Berlín 14 de Octubre. Han salido de aqui para Custrin el teniente general Diericke y el mayor general Stoltzendorff, comisionados para formar el proceso á Mr. de Massembach, que se halla preso en aquella plaza. Erfurt 14 de Octubre. Se continúa trabajando en las fortificaciones que se hallan en los contor nos de esta ciudad.__ En general el…</t>
  </si>
  <si>
    <t>Diestro, Josef López del</t>
  </si>
  <si>
    <t>Josef López del Diestro</t>
  </si>
  <si>
    <t>…Marcos Francisco Rivas, presbítero, domiciliado en Cara cas ; D. Nicolás Blanco; D. Miguel García Carrasquedo; D. Francisco Es cudero; D. Ildefonso Ruiz del Rio; D. Luis Gargollo; D. Josef López del Diestro ; D. Andrés Marzan; D. Juan Miguel de Lostra; D. Antonio Fajar do; D. Tomas Urrutia; D. Josef Xavier de Zuluaga y D. Josef de Veamurguía, individuos de la junta de reemplazos establecida en Cádiz; D. Josef Miguel Formento, coronel de milicias de Fondo; D. Agu…</t>
  </si>
  <si>
    <t>Diez, Juan</t>
  </si>
  <si>
    <t>Juan Diez</t>
  </si>
  <si>
    <t>tas y respuestas entre los mismos discípulos, que duró una hora, resultando ser los mas aventajados y dignos del premio en la primera clase D. Juan Diez, D. JosefGonzález, seminaristas, y D. Remigio García, natural de este sitio : en la segunda D. Josef Tejada , natural de Madrid, D, Eladio Ra mos , seminarista , y D. Cárlos Larravide, de este sitio: en la tercera los se minaristas D. Juan Sánchez Rubio, D. R…</t>
  </si>
  <si>
    <t>Diz, Francisco</t>
  </si>
  <si>
    <t>Francisco Diz</t>
  </si>
  <si>
    <t>…en esa Provincia se pro ceda con arreglo á dicha Real orden. Madrid 23 de Setiembre de 1817. El Rey nuestro Señor se ha dignado conceder plaza de ministro de la Cámara de Guerra á D. Francisco Diz, que Jo es del Consejo supremo del mismo ramo: el gobierno de Sra. Isabel de los Pasages al capitán D. Juan Conde, ayudante del regimiento de infantería de la Corona: la ayudantía de Ja plaza de Cardona á D. Ramón Gravoleda, teniente del de Bailen: la del cas…</t>
  </si>
  <si>
    <t>Doernberg</t>
  </si>
  <si>
    <t>…bierna de Hannóver ha nombrado sucesivamente ministros pleni potenciarios ó encargados de Negocios para las cortes de Europa, y especial mente para las principales de Alemania. El general Doernberg, que se dis tinguió en las últimas campanas, está nombrado para ir á Petersburgo como enviado extraordinaria de la corte de Hannóver. AUSTRIA. Vierta 23 de Noviembre. Se calcula que SS. MM. II. han andado durante su viage mas de 10 mi llas de Alemania, ó 2® l…</t>
  </si>
  <si>
    <t>Doile</t>
  </si>
  <si>
    <t>…La fiebre amarilla se ha manifestado en Charleston, y se teme que se ex tienda á lo restante del estado de la Carolina meridional. También hay muchas enfermedades en Baltimore. El capitán Doile, que llegó dias pasados de Boston á Nueva-Yorck, dice que antes de su partida habían salido del cabo de Anna muchos barcos en persecución de la monstruosa culebra marina que se ha visto en aquellas aguas; pero que habiéndola descubierto los marineros, viraron…</t>
  </si>
  <si>
    <t>Dolz, Miguel</t>
  </si>
  <si>
    <t>Miguel Dolz</t>
  </si>
  <si>
    <t>244</t>
  </si>
  <si>
    <t>…e salió de su casa el 1 2 de Mayo de 1812, y sirvió en el regimiento de los húsares de Oporto, núm. 12. El que tuviere alguna noticia de este sugeto hará el favor de comunicarla á D. Miguel Dolz, que vive en la calle de la Luna, núm. 7, cuarto principal. Cuaresma sagrada del cristiano, ó manual devoto para santificar todos los dias de cuaresma y tres de pascua, que contiene las epístolas, evangelios y oración co lecta de cada dia, con breves reflexio…</t>
  </si>
  <si>
    <t>Domín, Manuel</t>
  </si>
  <si>
    <t>Manuel Domín</t>
  </si>
  <si>
    <t>…de Loro: en Galicia D. Benito Sanjurjo, médico de la ciudad de Orense, para Cortegada: D. Manuel Lasobo Fernandez, médico de Cal das de Reyes, para los baños de este mismo nombre: D. Manuel Domín guez, médico del lugar y monasterio de Santos, para Caldas de Cuntís: Don Pedro Sanjurjo, médico de la ciudad de Tuy, para Caldelas de este nombre: en el reino de Murcia D. Juan Alix, médico titular de la villa de Cieza, para Archena: en Navarra D. Angel Sanz…</t>
  </si>
  <si>
    <t>Domingo.Ugena</t>
  </si>
  <si>
    <t>1224</t>
  </si>
  <si>
    <t>…tación de disciplina eclesiástica sobre la obligación que tienen los fieles da asistir á la misa parroquial, y oir la explicación del evangelio de boca de su párro co, escrita por D. Domingo.Ugena, presbítero: un tomo en 8.° prolongado, im preso en 1790. Véndese á 8 rs. en papel en el almacén de la imprenta Real. Estados que manifiestan los caudales que han recibido y distribuido las 62 di putaciones de los barrios en que está dividido Madrid, desde r.…</t>
  </si>
  <si>
    <t>DomingoRosso</t>
  </si>
  <si>
    <t>…n de dragones de Sierragorda D. Josef Cristóbal Viilaseñor, re lativos á las correrías que este oficial hizo por Sta. Ana de los Lobos, y el teniente del regimiento de Tres Villas D. DomingoRosso por las inmediacio nes de la hacienda de Charcas, habiendo logrado el primero sorprender al hermano y cuñado del cabecilla Tovar, con otros tres rebeldes; y el segun do al que se nombraba capitán Josef María Candon, cogiéndoles ademas las armas y caballos que…</t>
  </si>
  <si>
    <t>Domínguez, Josef Pió</t>
  </si>
  <si>
    <t>Josef Pió Domínguez</t>
  </si>
  <si>
    <t>…S. M. conceder honores &lt;kl tribunal Real y Apos tólico de la gracia del Excusado á D. Romualdo de Mendoza, canónigo dig nidad de chantre de la santa iglesia catedral de Calahorra. D. Josef Pió Domínguez, comisionado para la construcción de caminos en el viren ato de Sta. Fe, avisa al Excmo. Sr. D. Pascual Enriledesd# Gua dua, con fecha del 20 de Julio ultimo, que á pesar de la resistencia de los de Honda, y de la falta de auxilios que le han negado, ha logra…</t>
  </si>
  <si>
    <t>Domínguez, Patricio</t>
  </si>
  <si>
    <t>Patricio Domínguez</t>
  </si>
  <si>
    <t>…sugetos abajo expresados en los términos siguientes: „Señor: D. Josef María Puente, alcalde de casa y corte, D. Manuel Montalvo yTabares, coronel def regimiento de Valencey, y el coronel Don Patricio Domínguez, teniente coronel del mismo regimiento, apoderados de •la muy noble villa de Medellin, provincia de Extremadura, á L. R. P. de V. M. tienen el honor de exponer sus leales sentimientos, y felicitar á V. M. por el feliz parto de la Reina nuestra Señora, y por e…</t>
  </si>
  <si>
    <t>Domínguez, Pedro</t>
  </si>
  <si>
    <t>Pedro Domínguez</t>
  </si>
  <si>
    <t>…e Arjona, canónigo penitenciario de esta santa iglesia, vice director, con asistencia de los señores general D. Juan de la Cruz Murgeon, D. Joaquín de Bernad y Vargas, corregidor; D. Pedro Domínguez, inten dente; Dr. D. Andrés de Trevilla, provisor; de otras autoridades; de va rios sugetos de la mayor distinción , y de un numeroso y escogido concurso. Dió principio á la sesión el Dr. D. Josef Melendez, rector de la parroquial de S. Nicolás de la Villa, i…</t>
  </si>
  <si>
    <t>…señe la experien cia convenga hacer extensiva esta prohibición temporal.” El Rey nuestro Señor se ha servido conceder los empleos siguientes: En América. El gobierno de Popayan al coronel D. Pedro Domínguez, que lo servia interinamente: el de Antioquía al coronel D. Hemeterio Urena, comandante de la plaza de la Guayra; y el del Rio Hacha al teniente coro nel D. Josef Solis , que sirvió interinamente el de Popayan. En España. La tenencia de Rey de la plaza de Peñ…</t>
  </si>
  <si>
    <t>Donallo, Josef Joaquín Márquez y</t>
  </si>
  <si>
    <t>Josef Joaquín Márquez y Donallo</t>
  </si>
  <si>
    <t>…y fertin de S. Juan de Dios. ,,Dios guarde á V. E. muchos años. Xaliaca Marzo 14 de 1817.2: Excmo. Sr.=Josef Gabriel de Armijo.=:Excmo. Sr. virey D. Juan Ruíz de Apodaca.” 2.0 Del coronel D. Josef Joaquín Márquez y Donallo. „Excmo. Sr.: A pesar de los escabrosísimos caminos y crecidos obstácu los que me presentó la intransitable cuesta de Cbiconquiaco á mi bajdda por ella, para efectuar la combinación con el Sr. Armiñan, venciéndolo todo, me hallé a las cinco y media de la maña…</t>
  </si>
  <si>
    <t>Doñelfb, Cristóbal González</t>
  </si>
  <si>
    <t>Cristóbal González Doñelfb</t>
  </si>
  <si>
    <t>…onsultas del Consejo Real de las Ordenes, á D. Juan Josef Cheri y Nuñez para la vara de alcal de mayor del gobierno de la villa de Alcántara, vacante por haber cumplido su sexenio D. Cristóbal González Doñelfb; y para la del Corra! de A ¡maguer, que lo está por promoción de D. Francisco de Rivas á la de Torana y Ale do, á D. Luis Josef de Valdivia y Paniagua; dignándose también S. M., á consulta del propio tribunal, conceder la permuta que solicitaron de sus va ras…</t>
  </si>
  <si>
    <t>Donell, Carlos O</t>
  </si>
  <si>
    <t>Carlos O Donell</t>
  </si>
  <si>
    <t>…l Rey nuestro Señor se ha dignado conferir la capitanía general de egér cito y provincia de Castilla la Vieja con Ja presidencia de la Real chancille4ría de Valladolid al teniente general D. Carlos O Donell, gobernador de la plaza de Zamora, y segundo cabo comandante militar de la misma pro vincia. El Rey nuestro Señor se ha servido conceder los empleos siguientes: En España. El Gobierno militar y político de Castellón de la Plana, en el reino de Valencia, á D.…</t>
  </si>
  <si>
    <t>Donoughmore</t>
  </si>
  <si>
    <t>…a de dar crédito á los periódicos americanos Mr. Sargeant, apoderado del banco de los Estados- Unidos, ha conseguido en Lóndres un empréstito de 10 millones de duros en dinero. El conde Donoughmore dijo. en la cámara de los Pares que era enteramente falsa la imputadon hecha en un periódico al arzobispo católico de Du ... blin de haber publicado una pastoral llena d~ expresiones injurio5as contra los protestantes. El 3 del corriente se presentó en las do…</t>
  </si>
  <si>
    <t>Dorado, Josef Romero</t>
  </si>
  <si>
    <t>Josef Romero Dorado</t>
  </si>
  <si>
    <t>…ones y Puertas, D. Miguel Zizur y Azanza, D. Joaquín Basols y Marañosa, D. Josef Amat y Desvaíls, D. Pablo Navas y Loigorri, D. Josef Navarro y Alarcon , D. Agustín Blake y Tovar, D. Josef Romero Dorado, D. Manuel Vega y Romero, D. Al varo de Navia y Osorio, D. Juan de ia Lastra y Mata, D. Dionisio Sierra y Abello, D. Antonio Jácome y Villena, D. Antonio Fernandez Pinzón, Don Antonio de los Reyes y Céspedes, D. Josef García Merlo, y á los artilleros disti ng…</t>
  </si>
  <si>
    <t>Dorador, Esteban Ximenez</t>
  </si>
  <si>
    <t>Esteban Ximenez Dorador</t>
  </si>
  <si>
    <t>…ra la del Viso de Alcor á D. Amonio María de Rodas: para la de los valles de Soba, Rnesga y Villaverde á Don Manuel Tagle: para la de Baena á D. Manuel Valdés: para la de Lodosa á D. Esteban Ximenez Dorador : para la de Peñaranda de Bracamonte á Don Dámaso Megía Girón , corregidor que era de Rueda del Almirante: para la de Salas de ¡os Infantes á D. Josef Antonio Vázquez: para la de Friailiana á D. Juan Padilla y Ortiz, alcalde mayor que era de la ciudad de A /a…</t>
  </si>
  <si>
    <t>Doria, Elena</t>
  </si>
  <si>
    <t>Elena Doria</t>
  </si>
  <si>
    <t>…de esta corte al principio de la revolución, y en el año de 812 servia á las órdenes del general Obispo; y se suplica á la persona que pueda dar alguna noticia lo haga en Madrid á Doña Elena Doria, calle de Mira el Rio, núm. 5 ; á D. Josef Ciavijo y Alba, calle de Capellanes, núm. 3 , y en .Barcelona á D. Antonio S. Germán , catedrático de cirugía médica, ó á D. Josef Capdeviia, cirujano del Real cuerpo de Ar tillería. Se halla vacante la plaza de médi…</t>
  </si>
  <si>
    <t>Doz, Bonifacio</t>
  </si>
  <si>
    <t>Bonifacio Doz</t>
  </si>
  <si>
    <t>…yo de 1808, núms. 391730 Doña Catalina Gómez; y 412136 D. Julián Diaz: de 300 pesos de idem, niims. 477420 y 476798 Doña María Ignacia Galarza; los cuales se hallan reclamados por D. Bonifacio Doz y la Cerda, vecino de Tarazona, en Aragón, por sí y como heredero de su padre D. Jaime Doz, para que dentro del término de 30 dias precisos y perentorios, contados desde 6 del corriente, acu dan á su juzgado por la escribanía del número de D. Tomas de Sancha…</t>
  </si>
  <si>
    <t>Doz, Jaime</t>
  </si>
  <si>
    <t>Jaime Doz</t>
  </si>
  <si>
    <t>…ims. 477420 y 476798 Doña María Ignacia Galarza; los cuales se hallan reclamados por D. Bonifacio Doz y la Cerda, vecino de Tarazona, en Aragón, por sí y como heredero de su padre D. Jaime Doz, para que dentro del término de 30 dias precisos y perentorios, contados desde 6 del corriente, acu dan á su juzgado por la escribanía del número de D. Tomas de Sancha y Prado 3 deducir su derecho los tenedores de ellos, ó cualquiera de sus anteriores cedente…</t>
  </si>
  <si>
    <t>Dr</t>
  </si>
  <si>
    <t>…Acta de Cunduacéin de Tabasco. En el pueblo de Cunduacan de Tabasco á 25 de Setiembre de 1815: Yo el administrador de justicia del distrito D. Manuel Sastre, reunido con el se ñor cura Dr. D. JosefEduardo de Cárdenas en la casa de su morada, los dos vecinos honrados capitán retirado D. Domingo Barroso, y el teniente de realistas D. Francisco Quiroga y el diputado D. Josef Anselmo Rizo y Correa , certificamos y damos fe y verdadero testimonio,…</t>
  </si>
  <si>
    <t>…uzgado y citada escribanía í deducir el derecho con que se crean asistidos á los enunciados vales; con ¡apercibimiento que no haciéndolo les parará el perjuicio que haya Jugar. El Sr. Dr. D. Francisco Josef de Mardones, presbítero, teniente vicario de es ta villa, por ante el notario de número D. Juan Francisco de Piélagos, en provi dencia de 30 del pasado ha mandado hacer saber al poseedor ignorado del censo perpetuo del vínculo que fundó Se…</t>
  </si>
  <si>
    <t>Duarte, Juan Bautista</t>
  </si>
  <si>
    <t>Juan Bautista Duarte</t>
  </si>
  <si>
    <t>…beneficencia se ha servido S. M. mandar que se les den las gracias en su Real nombre, y se publique en la gaceta para su notoriedad. El Rey nuestro Señor se ha servido conceder á D. Juan Bautista Duarte su Real permiso para poder usar la condecoración de la flor de Lis con que S. M. Cristianísima se na dignado honrarle por su decidida adhesión á la jus ta causa de los Borbones. Habiéndose anunciado en la gaceta del jueves 27 de Febrero del corrien te año la…</t>
  </si>
  <si>
    <t>Duckworth</t>
  </si>
  <si>
    <t>…n el verano próximo á lord Whitworth en el gobierno de Irlanda, para lo que está haciendo ya sus prepa rativos. Se asegura que lord Exmouth debe marchar muy pronto á reemplazar al almirante Duckworth en el mando del apostadero de Terranova. Un mercader de paños llamado Mittchel acaba de ser arrestado y condu cido á Tewer como reo de alta traición. Los periódicos de Calcuta de 5 de Noviembre dicen que el buque llama do el trances-^Carlota, que llevaba á bo…</t>
  </si>
  <si>
    <t>…s; en 1815 de unos 6 millones, y en 1816 de algo mas de 5 millones. En algunos periódicos del 12 del corriente se dijo equivocadamente que el almirante Exmouth iba á reemplazar ai almirante Duckworth en el apos tadero de Terranova, debiendo decir que es el almirante Pickmore. FRANCIA. Commercy 19 de Mayo. El general en gefe barón de Ziethen está pasando revista á las tropas prusianas acantonadas en Francia. El 12 y 13 desfiló á su presencia la caba llería…</t>
  </si>
  <si>
    <t>…. Luego que el buque llegó á Túnez el cónsul británico pudo enganchar para conducirle í su destino á un piloto y seis marineros ingleses que se habían desertado de la escuadra del almirante Duckworth cuando fue á amenazar á Constantinopla. El cónsul prometió á dichos desertores no solo el perdón de su delito, sino una gran recompensa para que entrasen en el buque apestado, el cual se purifica todos los dias llenándole de agua hasta el primer puente, la qu…</t>
  </si>
  <si>
    <t>Ducos, Luis Fris</t>
  </si>
  <si>
    <t>Luis Fris Ducos</t>
  </si>
  <si>
    <t>…ripción de esta isla, y de las providencias que han tomado para asegurar al perturbador de la Europa: un tomo en 8.°, dedicado á la Reina nuestra Señora por su autor el presbítero D. Luis Fris Ducos, rector y administrador de la Real iglesia-hospital de S. Luis Rey de Fran cia, comisario del santo tribunal de corte &amp;c. Para recomendar esta obra basta de cir que está escrita con la misma verdad, exactitud, crítica é imparcialidad que se advierte en las de…</t>
  </si>
  <si>
    <t>Dueñas, Lorenzo Ventura'de</t>
  </si>
  <si>
    <t>Lorenzo Ventura'de Dueñas</t>
  </si>
  <si>
    <t>la, alcalde mayor de Sta. Cruz de Múdela: para el de Lacena, vacante por jubilación de D. Benito Saiz de Villegas , á D. Lorenzo Ventura'de Dueñas, alcalde mayor de Alcira; y para el corregimiento político de la ciudad de Antequera, vacante por muerte de D. Juan de Dios Cevallos, al coronel de los Reales egérdtos D. Josef Alfaro. También se ha servido S. M. conceder honores &lt;kl tribunal Real y Apos tóli…</t>
  </si>
  <si>
    <t>Dufougerais</t>
  </si>
  <si>
    <t>…róximo. Se han impreso y publicado de orden de la cámara los discursos de los Sres. Villele y el conde de la Bourdonnaie sobre el empréstito, y los de Mrs. Barthe, la Bastide y el barón Dufougerais sobre los fondos de la caja de amortización. El conde de Rostopchin, antiguo gobernador de Moscou, se halla toda vía en, París. Las ultimas cartas del Senegal anuncian que el 26 de Enero se enarboló la bandera blanca, y que fue entregada la colonia por las au…</t>
  </si>
  <si>
    <t>Dundas</t>
  </si>
  <si>
    <t>…establecimientos que hay en ella, acompañado de ingenieros austríacos. En el dia hay en la ciudad muchos ingleses de los que han servido durante la última guerra. También se halla lord Dundas, que vuelve de Iliria , y di cen que pasará á Sicilia. Ancana 12 de Abril. Se trabaja con mucha actividad en formar una buena marina, y tenemos ya varios buques en estado de hacer respetar nuestro pabellón. Muchos ofi ciales de la marina italiana han tomado p…</t>
  </si>
  <si>
    <t>Dupont</t>
  </si>
  <si>
    <t>…de caballería; y animada Valencia rechazó á Moncey casi al mis mo tiempo que unida la fuerza militar del reino de Sevilla, hizo rendir las armas al egército francés que mandaba el general Dupont. Estos hechos posi tivos demuestran su acendrado patriotismo , su fidelidad é íntimo amor á V. M., á cuyos Reales pies lo demostrarnos como especialmente comisiona dos suyos para felicitarle por su augusto enlace con la Reina nuestra Señora Doña María Isabel…</t>
  </si>
  <si>
    <t>Duque, Francisco Xavier López</t>
  </si>
  <si>
    <t>Francisco Xavier López Duque</t>
  </si>
  <si>
    <t>…osef de Valdivia y Paniagua; dignándose también S. M., á consulta del propio tribunal, conceder la permuta que solicitaron de sus va ras el alcalde mayor de la villa de Los Santos D. Francisco Xavier López Duque, y el de la del Quintanar de la Orden D. Liborio de Tudeia y Ra mos , para que aquel cumpla su sexenio en el Quintanar, y este en Los Santos. El Rey nuestro Señor se sirvió nombrar para segundo cabo comandante general de la provincia de Castilla la Vieja al m…</t>
  </si>
  <si>
    <t>Duran, Antonio</t>
  </si>
  <si>
    <t>Antonio Duran</t>
  </si>
  <si>
    <t>…o de Reina 10: D. Francisco de Reina 10: Juana Montilla 10: Francisco Moyano 20: Fran cisco de Luque ?o: Miguel Palomo 25: Alonso Atañe 8: María Montilla 8: D. Joaquín de Lara 80: D. Antonio Duran 80: D. Diego de la Huerta 40: Juan Tardan 10: viuda de Hernández é hijos y compañía 1®: Martínez, sobrino y compañía 600: Felipe de Burgos 10: Manuel Aguilar 10: Ma nuel Abad ió: Antonio Martin Bervemejo 100: Andrés de Sierra 10: Juan de Sierra 10: D. Juan La…</t>
  </si>
  <si>
    <t>Duran, Rafael</t>
  </si>
  <si>
    <t>Rafael Duran</t>
  </si>
  <si>
    <t>…los y destruir sus obras. En 20 de Setiembre último remitió el teniente coronel D. Francisco de las Piedras, comandante de Tulancingo , un diario de operaciones de los ca pitanes D. Rafael Duran y D. Josef María Luvian, comandante de Zacatlan y Huauchinango, en que constan las diversas correrías de estos dos ofi ciales, en las cuales consiguieron la persecución y muerte de muchos rebel des, la aprehensión de armas, fortificación de algunos puntos interesantes, y sobre todo…</t>
  </si>
  <si>
    <t>Durret, Josef</t>
  </si>
  <si>
    <t>Josef Durret</t>
  </si>
  <si>
    <t>…ada escribanía de provincia ; en el supuesto que no se admitirá ninguna no siendo en efectivo^metálico, con exclusión de toda clase de pa pel amonedado. Se cita, llama y emplaza á D. Josef Durret, de nación francés, tirador de oro, que ha vivido en la calle de la Reina de esta corte, casa núm. 5,manz. 300, planta baja, para que dentro de 30 dias, contados desde el en que se anuncie por gaceta, comparezca por sí, ó por procurador conocido, en la audien…</t>
  </si>
  <si>
    <t>Ea</t>
  </si>
  <si>
    <t>…o de Valencia, para que pueda usar del distintivo de la flor de Lis con que le ha condecorado S. M. Cristianísima por su adhesión á la augusta casa de los Borbones. El Rey nuestro Señor Ea concedido su Real permiso al conde de Zaldivar, teniente coronel y capitán de granaderos del regimiento de milicias disciplinadas de la Havana,y comendador en la orden de Isabel la Católica, para que pueda usar la cruz de la flor de Lis con que le ha agraciad…</t>
  </si>
  <si>
    <t>Echarri.----, Josef María</t>
  </si>
  <si>
    <t>Josef María Echarri.----</t>
  </si>
  <si>
    <t>…e D. Antonio LTgarcalde.__ „E1 libre comercio interior de granos proporciona una abun dancia tanto mas interesante , cuanto el artículo es de mayor consumo”: so bre lo que disertó D. Josef María Echarri.----„No puede conocerse la suma de los valores que posee una nación por la de su moneda”: sobre lo que di sertó D. Manuel Nasarre.----,,Son inútiles las penas, y perjudiciales las re compensas que se establecen con el fin de aumentar la población; pues para esto b…</t>
  </si>
  <si>
    <t>Echavarri, Pedro Agustín de</t>
  </si>
  <si>
    <t>Pedro Agustín de Echavarri</t>
  </si>
  <si>
    <t>795</t>
  </si>
  <si>
    <t>795 Circulares del Ministerio de Guerra. 1. a Los tenientes generales marques de Zayas y D. Pedro Agustín de Echavarri, el primero comandante de armas en la ciudad de Toledo, y el segundo de cuartel en !a villa de Daimiel, han hecho presente que con mo tivo del aniversario de la entrada del Rey nuestro Señor y feliz cumpleaños de la Reitsía nuestra Señora habían citado á todo…</t>
  </si>
  <si>
    <t>Echeverría, Claudio</t>
  </si>
  <si>
    <t>Claudio Echeverría</t>
  </si>
  <si>
    <t>…esto algunos de ellos explicaron los principios de geografía , resolviendo algunos problemas, y satisfaciendo á cuanto sobre esto se les preguntó; concluido lo cual el dis cípulo D. Claudio Echeverría recitó una silva, dando gracias al concurso, que se retiró bien satisfecho del adelantamiento de los discípulos y del esme ro de su maestro, que tan completamente ha desempeñado el cargo que le estaba confiado , correspondiendo á las sagradas obligaciones de…</t>
  </si>
  <si>
    <t>Eguia, Francisco</t>
  </si>
  <si>
    <t>Francisco Eguia</t>
  </si>
  <si>
    <t>' 95® udo s D. Francisco Eguia, secretario de Estado y del despacho de la Gaerra¡ D. Martin de Caray, secretario de Estado y del despacho de Hacienda; duque de S. Fernando, presidente del Consejo de las Ordenes; al marques de Sotomayor, primer caballerizo de S. M.; D. Eusebio Bardaxí y Aza…</t>
  </si>
  <si>
    <t>Eguía, Francisco de</t>
  </si>
  <si>
    <t>Francisco de Eguía</t>
  </si>
  <si>
    <t>…n el despacho de la imprenta Real. Se suscribe en dicho despacho, y en las provincias en todas las ad ministraciones principales y agregadas de correos. Por providencia del Excmo. Sr. D. Francisco de Eguía, capitán general de esta provincia de Castilla la Nueva, en consecuencia de despacho de D. Vicente Gi rón Villamandos, alcalde mayor de la ciudad del Puerto de Santa María, se ci ta, llama y emplaza por tercera y última vez á D. Francisco y D. Antonio García…</t>
  </si>
  <si>
    <t>…do vacante por vuestra salida á ese ministerio. Lo tendréis entendido, y comunicareis las órdenes correspondientes. Señalado de la Real mano. En Palacio á 20 de Junio de 1817. = A D. Francisco de Eguía. Circular del Consejo Real. Por Real resolución de S. M. , á consulta del Consejo de 27 de Julio de 1754, se aprobó el auto que había proveído el señor juez de imprentas en 22 de Noviembre de 1752, y prescribieron las reglas que debían observarlos impresores…</t>
  </si>
  <si>
    <t>Eguía, Francisco Xavier de</t>
  </si>
  <si>
    <t>Francisco Xavier de Eguía</t>
  </si>
  <si>
    <t>…etario del despacho de la Guerra marques de Campo-Sagrado para que le exonere de este despacho, he venido en encargar la secretaría de Estado del despacho de la Guerra al teniente general D. Francisco Xavier de Eguía , en atención á los distinguidos méritos y á la confianza que me merece. Tendreislo entendido, y dispondréis lo necesario á su cumplimiento. En Palacio á 19 de Junio de 1817. = A D. Josef García de León y Pizarro. Circular del Ministerio de Hacienda. Para evi…</t>
  </si>
  <si>
    <t>Eíejaga, Bernardo</t>
  </si>
  <si>
    <t>Bernardo Eíejaga</t>
  </si>
  <si>
    <t>…o de que en su defecto les parará el per juicio que haya lugar. En el juzgado del Sr. D. León de la Cámara Cano, y escribanía del número de D. Miguel Gonzalo, pende reclamación de D. Bernardo Eíejaga, vecino de Bilbao, sobre que se declaren de su pertenencia seis vales Reales de la creación de i.° de Setiembre de 1808, uno de 600 pesos, núm. 15682; otro de 300, núm. 7111 1 , y los cuatro restantes de 150 pesos, nums. 169942, 171307, 172263 y 202977, que s…</t>
  </si>
  <si>
    <t>Elejaga, Bernardo</t>
  </si>
  <si>
    <t>Bernardo Elejaga</t>
  </si>
  <si>
    <t>…02977, que se han remitido á instancia de dicho Eíejaga por la oficina de renovación; por lo que se cita y emplaza á todas las personas contenidas en ellos , y con especiali dad á D. Bernardo Elejaga, por quien parece haberse endosado á favor de aquellas, para que dentro de 30 lias precisos acudan á dicho juzgado y citada escribanía á usar de sus acciones; con apercibimiento que pasado dicho término, y no compare ciendo, sin mas citación se procederá á lo…</t>
  </si>
  <si>
    <t>…esía. Se ha llará en la librería de Barco, carrera de S. Gerónimo: su precio 1 2 rs. á la rústica. Nota. En la gaceta del jueves 12 del corriente, pág. última, lín. 18, donde dice D. Bernardo Elejaga, ¡¿ase Elerága. EN LA IMPRENTA REAL.</t>
  </si>
  <si>
    <t>Elguero, Juan Francisco Albo y</t>
  </si>
  <si>
    <t>Juan Francisco Albo y Elguero</t>
  </si>
  <si>
    <t>…en inteligencia que pa sado sin haber comparecido por sí ó por medio de persona con poder bastante, les parará el perjuicio que haya lugar. Se convoca á junta á los acreedores de D. Juan Francisco Albo y Elguero, ca ballero capitular que fue del Excmo. ayuntamiento de esta muy heroica villa, el dia 14 de Setiembre próximo á las 9 en punto de su mañana en la posada del Se ñor D. Andrés OUer, del Consejo de S. M., alcalde de casa y corte, en cuyo juz gado de provincia…</t>
  </si>
  <si>
    <t>Elias, Josef Fuentes y</t>
  </si>
  <si>
    <t>Josef Fuentes y Elias</t>
  </si>
  <si>
    <t>24 Hería á los caballeros cadetes del colegio militar de Segovia D. Isidro Baeza y Santillana, D. Pedro Lujan y Romero, D. Francisco Lujan y Romero, D. Cayetano Urbina y Daoiz, D. Josef Fuentes y Elias , D. Francisco Zacagnini y Monzon, D. Pablo Tous y Fíol, D. Miguel Jorganes y Mario, D. Antonio Venene y Andrade, D. Julián Gata y Malpica, D. Mariano Canals y May oís, D. Juan Molins y Cabañiés, D. Juan de Dios Valera y Viaña, D. Josef Zizur y Azanza, D. Tom…</t>
  </si>
  <si>
    <t>Elias, Juan de Dios</t>
  </si>
  <si>
    <t>Juan de Dios Elias</t>
  </si>
  <si>
    <t>…zo Fer nandez de León, D. Juan Lorenzo Sánchez Cueto, D. Luis Franco, Doña Librada Perez Escovar, D. Joaquin Antonio Román, los Sres. Alzueta y Beratarrechea, D. Rafael Rodríguez, D. Juan de Dios Elias, los Sres. Bohe, hermanos y compa ñía, D. Mariano de Urbieia, D. Josef Uhicon, D. Ignacio Suarez, D. Francisco Antonio Abadía, D. Mariano Gil y D. Josef Vilar, últimos tenedores de 32 vales Reales, 15 de ellos de 150 pesos, creación de Enero de 1808, con los…</t>
  </si>
  <si>
    <t>Elío, Francisco Xavier</t>
  </si>
  <si>
    <t>Francisco Xavier Elío</t>
  </si>
  <si>
    <t>…e su uso , que se hallaba primorosamente ador nado , y autorizado con el retrato de S, M. La presidie) su vice-director el Sr. marques de Villores, teniendo á su derecha al Excmo. Sr. D. Francisco Xavier Elío, copitan general de este egército y reino. Se dio principio por un discurso que dijo el secretario D. Vicente María de Vergara, manifes tando los deseos de la sociedad de promover con preferencia por las circuns tancias de nuestra nación la agricultura , y pr…</t>
  </si>
  <si>
    <t>…istingui dos servicios que me ha hecho en las Américas, y me continúa haciendo en la península mi capitán general del reino de Valencia el teniente general de mis Reales egércitos D. Francisco Xavier Elío, y atendiendo también á sus demas apreciables circunstancias, he venido en agraciarle con la gran cruz de la Real orden americana de Isabel la Católica. Tendreislo entendido, y dispondréis lo conveniente á su cumplimiento. = Rubricado de la Real ma no. ^Palac…</t>
  </si>
  <si>
    <t>Elío, Juan Bautista</t>
  </si>
  <si>
    <t>Juan Bautista Elío</t>
  </si>
  <si>
    <t>…meses antes, se deja ver en la plaza, y reconocido segundo gefe por orden del señor Vivero, acredita como siempre su valor y pericia militar: el recomendable capitán de cazadores D. Juan Bautista Elío con grande actividad atiende á todas par tes , y distribuye oportunamente su tropa: las milicias cívicas de vecinos dis tinguidos y artesanos corren á las armas y ocupan con gran valor todos los puestos á que fueron destinadas. Los individuos de este cuerpo y…</t>
  </si>
  <si>
    <t>Ellemborough</t>
  </si>
  <si>
    <t>…jura dos que Watson no era culpable del crimen de alta traición de que había sido acusado. Watson, que se hallaba presente en el tribunal, saludó respetuosamente á los jurados, y lord Ellemborough, que era el presidente , preguntó al fiscal si tenia otro artículo de acusación contra el preso; y habiendo respondido que no, fue este puesto en libertad. Luego que vio el pueblo á Watson y á Mr. Hermer que le acompa ñaba prorumpió en aplausos, y después tir…</t>
  </si>
  <si>
    <t>Ellenborough</t>
  </si>
  <si>
    <t>Watson, Preston, Hooper y otros permanecerán presos por crimen de se dición y de conspiración, y se remitirán al tribunal de Kings-Benchpresidi do por lord Ellenborough. Mr. Beckwith, armero, cuyo taller fue robado el 2 de Diciembre por los sediciosos, ha valuado los daños y perjuicios que le hicieron en 1341 libras esterlinas, 1 j sueldos y 6 dineros. El 17 se dirigió el cónsul de Portugal al lord corregidor para tratar de…</t>
  </si>
  <si>
    <t>Empecinado</t>
  </si>
  <si>
    <t>…reverente exposición, en que recibirá merced. Madrid 10 de Setiembre de 1817. = Señor. = A L. R. P. de V. M.srjuan Martin, el Empecinado.” En vista de esta soberana disposición el general Empecinado para proce der con el acierto que desea á la elección de los 10 individuos de que hace mérito la antecedente exposición, y atender á mas del mérito á la mayor indigencia, avha á todos los que se hallen en aquel caso para que en el pre ciso término de un mes,…</t>
  </si>
  <si>
    <t>Encar, María</t>
  </si>
  <si>
    <t>María Encar</t>
  </si>
  <si>
    <t>…Sr. D. Joaquín Almazan, del Consejo de S. M., teniente corregidor de esta villa, en el dia 24 de este mes á las nueve. Se cita á los acreedores é interesados á la testamentaría de Doña María Encar nación Nestares y Chapín, viuda que fue de D. Francisco Herrera, para que con curran á la junta que ha de celebrarse en la posada del Sr. D. León de la Cámara Cano, del Consejo de S¿ M., teniente corregidor, y corregidor interino de esta vi lla, en el dia 28…</t>
  </si>
  <si>
    <t>Enrile, Pascual</t>
  </si>
  <si>
    <t>Pascual Enrile</t>
  </si>
  <si>
    <t>…tativas de los rebel des, le lles^ó la noticia de que Mina preparaba otra nueva expedición, la cual había de reunirse en los Cayos de S. Luis. Determinóse que el mariscal de campo D. Pascual Enrile, tan conocido por su zelo como por su pericia, fuese á perseguir á aquel rebelde sobre Cuba ó Sto. Domingo. Dió en efecto la vela para Puerto Príncipe; y habiendo sabido por dos buques la salida de Mina para el seno mexicano, se dirigió á la Havana á desempeñ…</t>
  </si>
  <si>
    <t>…Apostólica bajo los auspicios y la alta protección del inmortal Rey Católico Fernando vii.” El capitán de infantería de Numancia D. Antonio Van-Halen, ayudante de Campo del Excmo. Sr. D. Pascual Enrile, segundo general del egército expedicionario de Costa-firme, al presentar á S. M. una magnífica custo dia, copon, cáliz y vinageras, todo de oro guarnecido de grandes esmeral das y perlas, que el egército y escuadra de la misma expedición regalan á S. M., dij…</t>
  </si>
  <si>
    <t>Enriledesd, Pascual</t>
  </si>
  <si>
    <t>Pascual Enriledesd</t>
  </si>
  <si>
    <t>…igo dig nidad de chantre de la santa iglesia catedral de Calahorra. D. Josef Pió Domínguez, comisionado para la construcción de caminos en el viren ato de Sta. Fe, avisa al Excmo. Sr. D. Pascual Enriledesd# Gua dua, con fecha del 20 de Julio ultimo, que á pesar de la resistencia de los de Honda, y de la falta de auxilios que le han negado, ha logrado concluir el de Guarumo ,*pues aunque por no estar concluidas las bodegas no se transita to davía por él , no obs…</t>
  </si>
  <si>
    <t>Enriquez, Custodio</t>
  </si>
  <si>
    <t>Custodio Enriquez</t>
  </si>
  <si>
    <t>…r mí para el tfecto ; en la inteligencia que desde hoy se admitirán las posturas que se hi ciesen siendo arregladas á lo anteriormente prevenido , y deberán egecutarse por mano de D. Custodio Enriquez, escribano principal de este juzgado mi litar y de la comisión. 8.° Y últimamente, que si los postores no ofreciesen la cuota establecida de 60© rs., se diferirá la subasta por otros ocho dias, y al fin de ellos será rematado difinitivamente el almanak. Ante…</t>
  </si>
  <si>
    <t>Eragaíjza, María Isabel de</t>
  </si>
  <si>
    <t>María Isabel de Eragaíjza</t>
  </si>
  <si>
    <t>…universidad literaria de Zaragoza nos ha comisionado para que como individuos de su claustro felicitemos en su nombre á V. M. por haber efectuado su matrimonio con la Serma. Sra. Doña María Isabel de Eragaíjza. Se ha creido obligada á ello , asi por su acendrada fidelidad á V. M., como porque reconoce deber su existencia á la protección que V. M. le ha dispensado, colmándola de beneficios desde su feliz regreso al trono, y haciéndole sobre todo el de confirmarle y…</t>
  </si>
  <si>
    <t>Eran</t>
  </si>
  <si>
    <t>…que disfrutan los oficia les, tropa y fondos de los regimientos de caballería del egército desde i.° de Ju nio de 1815» con arreglo al Real reglamento de dicho año: corregida por D. Eran cisco Montalvo, teniente del regimiento de caballería de Nutnancia, 2.0 de cazado res, y aprobada por el Excmo. Sr. inspector general de ia arma D. Diego Balleste ros. Se hallará en las librería» de Matute y Rodríguez, calle de las Carretas. EN LA IMPRENTA RE…</t>
  </si>
  <si>
    <t>Eraso, Francisco Carpintero y</t>
  </si>
  <si>
    <t>Francisco Carpintero y Eraso</t>
  </si>
  <si>
    <t>…an , D. Antonio Castellano y Cabrejano, D. Juan González Miranda, D. Antonio Arias de Prada , D. Justo Saenz de S. Pedro, D. Gabriel Ceruelo de Velasco y D. Josef Sacasa. Capellán D. Francisco Carpintero y Eraso. Para el de S. Bartolomé en Salamanca. Rector D. Ramón de Aguilar Fernandez de Córdoba. Consiliario T.° Don Anselmo de Isla Manrique. Idem 2° D. Ambrosio de Velasco y Oraoño Rosales. Idem 3.0 D. Francisco Zapata Bueno. Capellán D. Josef Sendia Calderón. Para…</t>
  </si>
  <si>
    <t>Erskine</t>
  </si>
  <si>
    <t>…de un pistoletazo el capitán ingles Wemys. Las pérdidas considerables en el juego han sido causa de su desesperación , co mo se ve por una carta que ha dejado escrita á su tío el general Erskine. En el año de 1815 murieron 3183 personas que gozaban pensiones del Gobierno, entre las cuales se contaba uno de 102 años, otro de 100, dos de 99, tres de 97 , tres de 96, ocho de 95 , cuatro de 94, ocho de 93, ocho de 92, ocho de 91 y 25 de 90. Importaban la…</t>
  </si>
  <si>
    <t>…ntas sediciosas fueron el lord conde de Westmoreland, el duque de Athol, el marques de Buckingham y el conde de Aberdeen. Entre los que se opu sieron á él se notan los siguientes: lord Erskine, lord St-John, el conde Grosvenor, lord Aukland y el duque de Sussex. Nos limitaremos á extractar el discurso del marques de Buckingham, quien ha adquirido en esta ocasión nuevos títulos al reconocimiento de su patria. ,,Considero, dijo el noble lord, la cues…</t>
  </si>
  <si>
    <t>Es, Francisco</t>
  </si>
  <si>
    <t>Francisco Es</t>
  </si>
  <si>
    <t>…ejandro Gu tiérrez de Ruvalcaba. Cruces de Caballeros A los Sres. D. Marcos Francisco Rivas, presbítero, domiciliado en Cara cas ; D. Nicolás Blanco; D. Miguel García Carrasquedo; D. Francisco Es cudero; D. Ildefonso Ruiz del Rio; D. Luis Gargollo; D. Josef López del Diestro ; D. Andrés Marzan; D. Juan Miguel de Lostra; D. Antonio Fajar do; D. Tomas Urrutia; D. Josef Xavier de Zuluaga y D. Josef de Veamurguía, individuos de la junta de reemplazos esta…</t>
  </si>
  <si>
    <t>Es, Josef García</t>
  </si>
  <si>
    <t>Josef García Es</t>
  </si>
  <si>
    <t>…ucados anuales, cobrados y pagados por la justicia. Se reciben memoriales hasta 24 de Junio venidero, que se dirigirán á dicha justicia, ó á su escribano del número y ayuntamiento D. Josef García Es lava por el correo ordinario, poniendo su di eccion por Pastrana , Yebra. Quinientas setenta y una reflexiones ó sentencias, y 33 máximas morales de Mr. el duque de Rochefoucault: traducidas del francés al castellano por D. Narciso Alvaro y Cereza.rzHistoria…</t>
  </si>
  <si>
    <t>Es, Secretario de</t>
  </si>
  <si>
    <t>Secretario de Es</t>
  </si>
  <si>
    <t>342</t>
  </si>
  <si>
    <t>…de la peste conocida en aquellas regiones, no dejará de interesar el que se repita sobre este asunto la comunicación que de él hace el ministro de S. M. en dicha capital al Excmo. Sr. Secretario de Es tado , en atención á las útiles reflexiones que podrán sugerir á los facultativos las circunstancias del tiempo en que este individuo se mantuvo en el mas es trecho contacto con los apestados sin ser atacado del mal, y el inopinado accidente de haberlo sido d…</t>
  </si>
  <si>
    <t>Escalona, Rafael de</t>
  </si>
  <si>
    <t>Rafael de Escalona</t>
  </si>
  <si>
    <t>…se estrelló contra las rocas, rompiéndose la cabeza en seguimiento de algunos poces menores, pues no conocen pescado mas fiero entre los cetáceos que este. Madrid ij de Noviembre. D. Rafael de Escalona, canónigo doctoral de la santa iglesia de Caracas, comisionado por la Real y pontificia universidad de aquella capital para fe licitar á S. M., lo verificó en los términos siguientes, habiendo antes tenido el honor de poner en las Reales manos sus credenciale…</t>
  </si>
  <si>
    <t>Escolar, Lorenzo</t>
  </si>
  <si>
    <t>Lorenzo Escolar</t>
  </si>
  <si>
    <t>…bispo en Salamanca. Rector D. R amon de Planella y Fivaller. Consiliario i.° D. Josef Jalotl y Jalón. Idem 2.0 D. Rafael Bermudez. Idem 3.0 D. Francisco Ribera y Maestre» Capellán D. Lorenzo Escolar.</t>
  </si>
  <si>
    <t>Escoto, Pedro Antonio</t>
  </si>
  <si>
    <t>Pedro Antonio Escoto</t>
  </si>
  <si>
    <t>…esta fecha, dos casas sitas en esta corte , y su calle de la Encomienda, con accesorias á la de las Dos Hermanas, demarcadas con los niims. 4 y 5, manz. 73 , que correspondieron á D. Pedro Antonio Escoto y Doña Bernarda Üteda, su muger, que tiene de sitio la del núm. 4, 4529 pies cuadrados superficiales de area plana, tasada en 57176 rs. vn.; y la del núm. 5 consta de 4341 pies, tasada en 79889 rs. vn. La persona que quisiere hacer postura á dichas casas juntas ó separadas, lo ege…</t>
  </si>
  <si>
    <t>Escovar, Librada Perez</t>
  </si>
  <si>
    <t>Librada Perez Escovar</t>
  </si>
  <si>
    <t>…llama y emplaza por término de 30 días, contados desde esta publicación, á D. Manuel Saenz del Prado, D. Lorenzo Fer nandez de León, D. Juan Lorenzo Sánchez Cueto, D. Luis Franco, Doña Librada Perez Escovar, D. Joaquin Antonio Román, los Sres. Alzueta y Beratarrechea, D. Rafael Rodríguez, D. Juan de Dios Elias, los Sres. Bohe, hermanos y compa ñía, D. Mariano de Urbieia, D. Josef Uhicon, D. Ignacio Suarez, D. Francisco Antonio Abadía, D. Mariano Gil y D. Josef V…</t>
  </si>
  <si>
    <t>Escovar, Pedro</t>
  </si>
  <si>
    <t>Pedro Escovar</t>
  </si>
  <si>
    <t>…za y un numeroso concurso de toda la villa y pue blos inmediatos, se dio principio al acto por un examen general de los alum. nos existentes dirigidos por sus respectivos maestros D. Pedro Escovar y Don Manuel de Rebolleda. En seguida se les hicieron varias preguntas por mu chos délos concurrentes, á ias que satisficieron pronta y debidamente, dis tinguiéndose entre estos D. Pedro Serra y D. Eugenio Calderón en su cla.. se de mayores de gramática latina; D. Leonardo y D Francis…</t>
  </si>
  <si>
    <t>Escovar, Rafael</t>
  </si>
  <si>
    <t>Rafael Escovar</t>
  </si>
  <si>
    <t>…rden, re gularidad , aseo, compostura y caridad con que se practican los objetos de beneficencia dentro y fuera de la casa, satisfaciendo á las oportunas pregun tas que hizo S. M. D. Rafael Escovar, capellán de honor y mayor de dicho Real noviciado. Y encargando la perseverancia y mayor perfección de este nuevo establecimiento de beneficencia, fundado, dotado y sostenido por S. M. bajo la protección dé la Reina nuestra Señora, y exclusiva autoridad del…</t>
  </si>
  <si>
    <t>Escrivá, Luisa</t>
  </si>
  <si>
    <t>Luisa Escrivá</t>
  </si>
  <si>
    <t>…enien do entendido que su provisión se ha de realizar en todo el presente mes. Libia, ó la conjuración contra Viríato: tragedia por D. Judas Josef Romo, de dicada á la Excma. Sra. Doña Luisa Escrivá, marquesa viuda de Valdecarzana. Vén dese á 4 rs. en las librerías de Perez y Castillo, donde se hallarán también las obser vaciones sobre la ortografía castellana y el arte de leer del mismo autor. EN LA IMPRENTA REAL.</t>
  </si>
  <si>
    <t>Escudero, Francisco de Paula</t>
  </si>
  <si>
    <t>Francisco de Paula Escudero</t>
  </si>
  <si>
    <t>…remo Consejo de Almirantazgo en su acuerdo de 23 del corriente, que V. S. me comunica con la misma fecha, y otras las indica en oíicio del propio dia el ministro de aquel tribunal D. Francisco de Paula Escudero por lo respectivo á su encargo cerca de la persona de S. A. De todas ellas he dado cuenta á S. M., que tomándolas en su soberana consideración para ocurrir en lo po sible á los males que consigo trae aquel infausto acontecimiento, y querien do desde luego fij…</t>
  </si>
  <si>
    <t>Escudero, Ramón Amonio de</t>
  </si>
  <si>
    <t>Ramón Amonio de Escudero</t>
  </si>
  <si>
    <t>…tres de fierro de los nú meros 1,2,8, t) y 10 p3ra balconage, construidos en Vizcaya, y que se hallan todos en la Real aduana de Santander. Los compradores acudirán en Santander á D. Ramón Amonio de Escudero, del comercio de ella, y en Madrid ai comisario honorario de guerra D. Manuel de Quevedo Bustamante, plazuela del Angel. Se cita á los acreedores é interesados en la testamentaría de Doña María de la Encarnación Nestares y Chapín, muger que fue de D. Francisc…</t>
  </si>
  <si>
    <t>Escute, Matías</t>
  </si>
  <si>
    <t>Matías Escute</t>
  </si>
  <si>
    <t>…, que se vio cercado de enemi gos, y fue herido , salvándolo su acreditado valor, que hizo costase cara su existencia al enemigo: al teniente coronel sargento mayor de la Victoria D. Matías Escute, comandante de la acreditada columna de cazadores, que maniobró con el mayor tino, serenidad y entusiasmo: al sargento mayor comandante del tercer batallón de Numancia D. Ildefonso de Arce, y ai ayudante mayor del mismo D. Josef María Quero, que se portaron c…</t>
  </si>
  <si>
    <t>Español-----, Faustino</t>
  </si>
  <si>
    <t>Faustino Español-----</t>
  </si>
  <si>
    <t>…to á su valor”: sobre lo cual disertó D. Anselmo Baquedano. —— „E1 invento de cualquiera máquina es útil á los productores, y mas todavía á los consumidores”: sobre lo que disertó D. Faustino Español----- ,,E1 comercio interior que hacen las provin cias entre sí es mas ventajoso que el exterior de nación á Ración”: sobre lo que disertó D. Santiago Tejada.----,/Todo sistema gremial es nocivo á los progresos de la industria”: que fue el objeto de la disertación…</t>
  </si>
  <si>
    <t>Espejo, Alonso Comieras Torres de Portugal y</t>
  </si>
  <si>
    <t>Alonso Comieras Torres de Portugal y Espejo</t>
  </si>
  <si>
    <t>…a de Enguera á D. Juan Antonio Bolaño; y para la de Cheite á D. Francisco Xavier Fernandez Trapiella. Por Real resolución, á consulta de la Cámara, se ha servido S. M. con ceder á D. Alonso Comieras Torres de Portugal y Espejo la gracia de títu lo de Castilla con la denominación de vizconde de Bexijar, en consideración á sus particulares servicios, para sí, sus hijos y sucesores. El teniente general D. Nicolás Mahy, como general en gefe^que fue del sexto egército de operaciones, ha…</t>
  </si>
  <si>
    <t>Espinosa, Antonio</t>
  </si>
  <si>
    <t>Antonio Espinosa</t>
  </si>
  <si>
    <t>…mo heredero, se pre sentará en el término de 40 dias en la expresada ciudad. Anales eclesiásticos y seculares de la ciudad de Sevilla, por D. Diego Ortiz de Zúñiga, ilustrados por D. Antonio Espinosa: cinco tomos en 4.0 Véndese á 90 reales cada juego en papel en el almacén de la imprenta Rea!. EN LA IMPRENTA REAL.</t>
  </si>
  <si>
    <t>Espinosa, Luis</t>
  </si>
  <si>
    <t>Luis Espinosa</t>
  </si>
  <si>
    <t>…tar á S. M. por su augusto enlace, á nombre de la villa de Cebreros, el limo. Sr. conde de Torremuzquiz , el Lie. D. Josef Pió Santos, abogado del ilustre colegio de esta corte, y D. Luis Espinosa, alcalde por el estado noble de dicha villa; y el primero dijo á S. M.: „Señor : La viÜ3 de Cebreros, situada en la parte meridional de la pro vincia de Avila, que durante la próxima asoladora guerra fue por su situación local el asilo de toda clase de patrio…</t>
  </si>
  <si>
    <t>Esquivel, Bárbara</t>
  </si>
  <si>
    <t>Bárbara Esquivel</t>
  </si>
  <si>
    <t>…Isidoro , es tablecida en el barrio de S. Vicente, y fueron igualmente examinadas sobre los mismos ramos que las anteriores, y premiadas semejantemente. Las so bresalientes fueron Doña Bárbara Esquivel , Doña María Encarnación Are nas, Doña María de la Paz Pórtela, Doña María de los Santos Romero y Doña María del Amparo Tabla, á cada una de las cuales se Ies asigno tam bién su dote &amp;c. como las anteriores. De la escuela de Sta. Justa y Rufina se examinaron…</t>
  </si>
  <si>
    <t>Estado, Secretario de</t>
  </si>
  <si>
    <t>Secretario de Estado</t>
  </si>
  <si>
    <t>…deroso derrame copiosas ben diciones sobre vuestra augusta Persona, la de la Reina nuestra Señora y de más Real Familia.” ARTICULO DE OFICIO. Circular del Ministerio de Guerra. Al Sr. Secretario de Estado encargado del Despacho de Gracia y Justicia digo hoy lo que sigue:</t>
  </si>
  <si>
    <t>…u inteligencia y cumplimiento en la parte que le corresponde. Dios guarde á V. muchos años. Madrid 27 de Enero de 1817. Circulares de la Dirección general de Rentas. i.a El Excmo. Sr. Secretario de Estado y del despacho de Hacienda ha comunicado, con fecha 6 del corriente, á esta Dirección general la Real or den siguiente: ,, Cuando el Rey nuestro Señor tuvo á bien ocurrir por sus soberanas re soluciones de 14 de Marzo, 3 de Junio y 26 de Setiembre de 1815 al…</t>
  </si>
  <si>
    <t>…sponda para su cumplimiento.—Señalado de la Real mano de S. M.=rEn Palacio á 24 de Febrero de. 1817. = A D. Juan Esteban Lozano de Torres.” Circular del Ministerio de. Guerra.. Al Sr. Secretario de Estado y del Despacho de Marina digo con esta feú cha, lo siguiente: „ He dado cuenta al Rey nuestro Señor de cuanto V. E. me manifiesta en su papel de 23.de Junio último, relativo á la calificación del derecho que pueden tener á las condecoraciones de la Real y Mil…</t>
  </si>
  <si>
    <t>461</t>
  </si>
  <si>
    <t>…que tenia cubierto el ojo, halló en él un insectillo vivo de figura chata, y de color de gris.” ESPAÑA. Madrid 2 de Mayo. ARTICULO DE OFICIO. Circular del Ministerio de Guerra. Al Sr. Secretario de Estado y del despacho de Hacienda digo con esta fecha lo siguienre: He dado cuenta al Rey nuestro Señor de las instancias de varios ciruja nos de los cuerpos de infantería y artillería , solicitando el aumento de suel do que se concedió á los cirujanos de caballería…</t>
  </si>
  <si>
    <t>…n traslado á V. para su inteligencia y cumplimien to en la parte que le toca. Dios guarde á V. muchos años. Madrid 21 de Abril de 1817. Circulares del Consejo Real. 1 ,a El Excmo. Sr. Secretario de Estado y del Despacho universal de Gracia</t>
  </si>
  <si>
    <t>…e orden del Consejo al fin expresado; y del re cibo de esta me dará aviso para ponerlo en su superior noticia. Dios guarde á V. muchos años. Madrid de Abril de 1817. 2.a El Excmo. Sr. Secretario de Estado y del Despacho de Gracia y Jus ticia ha comunicado al Excmo. Sr. duque del Infantado, presidente del Con sejo, con fecha 6 de este mes, la Real orden siguiente: ,, Excmo* Sr. : El Sr. Secretario del Despacho de la Guerra con fecha de 10 de Marzo último me dic…</t>
  </si>
  <si>
    <t>568 Real orden comunicada por el ministerio de Hacienda d la Dirección general de Rentas. El Sr. Secretario de Estado y del departamento de Hacienda de Indias me dice con fecha 17 del corriente lo que sigue: „El Consejo pleno de Indias, en consulta de 18 de Abril próximo pa sado , ha hecho presente al Rey nuestro Señor el lamentable estado de abso luta decadencia y ruina á q…</t>
  </si>
  <si>
    <t>870</t>
  </si>
  <si>
    <t>…truc ciones que deben tener los mismos, en que se comprende la referida Reai cé dula; y del recibo de esta orden se servirá V. darnos aviso. Madrid 30 de Julio de 1817. El Exorno. Sr. Secretario de Estado y del Despacho de Hacienda con fe cha 8 del actual comunica á la Dirección general la Real orden siguiente:</t>
  </si>
  <si>
    <t>…a preciosa vida de V. M., la de la Reina nuestra Señora y Real familia para bien de estos reinos y prosperidad de la patria.” Circular de la Dirección general de Rentas. El Excmo. Sr. Secretario de Estado y del Despacho de Hacienda ha co municado á esta Dirección general de Rentas con fecha 21 de Julio ultimo la Real orden siguiente: „ Habiendo concedido el Rey nuestro Señor en 15 de Abril último á Josef Aracii Izquierdo, escribano de los juzgados ordinarios d…</t>
  </si>
  <si>
    <t>…1817. Circular del Consejo Real. El Excmo. Sr. duque del Infantado, presidente del Consejo, ha pasado á él una Real orden que con fecha 4 de este mes le había comunicado el Excmo. Sr. Secretario de Estado y del Despacho de Gracia y Justicia, y es la siguiente : ,, Excmo. Sr.: He dado cuenta al Rey nuestro Señor de lo expuesto por V. E. en su informe de 22 de Julio último sobre la representación de Don Francisco de Laborda, asistente de Sevilla, en solicitud de…</t>
  </si>
  <si>
    <t>…rional de Africa la enfermedad conocida con el nombre de peste de levante. Posteriormente se ha pasado al Consejp con fecha 6 de este mes la Reai orden siguiente: ,,Excmo. Sr.: El Sr. Secretario de Estado y del Despacho me dice con es ta misma fecha lo que sigue: „ Persuadido cada dia mas el augusto ánimo</t>
  </si>
  <si>
    <t>…” Y la trasladamos á V. para su inteligencia, y que la comunique á quien corresponda; dándonos aviso dei recibo para nuestro gobierno. Ma drid 26 de Agosto de 1817. 3. a El Excmo. Sr. Secretario de Estado y del despacho de Hacienda nos comunica con fecha de 2 2 del presente mes ia Real orden que sigue: ,, El Rey se ha enterado de la exposición del Intendente de Cataluña, en que dice se repartió y señaló la cuota de contribución respectiva á los pueblos que goz…</t>
  </si>
  <si>
    <t>…siasmo para testificar su eterno agradecimiento, y que no cesarán de bendecir su paternal go bierno.” Circular expedida por el Consejo supremo de la Guerra. Con esta fecha digo al señor Secretario de Estado y del Despacho de Ha cienda lo que copio: Por Real resolución de 7 del actual se ha servido el Rey nuestro Señor conceder, á consulta del Consejo supremo de la Guerra, á Doña María Ma nuela Gertrudis de Mendizabal, viuda del sargento mayor que fue del regi mi…</t>
  </si>
  <si>
    <t>…lo verificaron el día 9 de este mes , y pidiendo al Todopoderoso prolongue el reinado de V. M., y colme de bendiciones á su augusta familia.” Circular de la Tesorería general. El Sr. Secretario de Estado y del Despacho de Hacienda me dice con fecha 31 del mes de Agosto último que con la de 14 del mismo le comunica el de Guerra lo que copio: Los repetidos egem piares de los oficiales del egército que quebrantando los arrestos que sufren en distintos puntos de…</t>
  </si>
  <si>
    <t>…berana resolución comunico á V. S. para los propios efectos; es perando me dé aviso de su recibo para mi gobierno. Madrid 2 de Agosto de 1817. Circular del Consejo Real. El Ecxmo. Sr. Secretario de Estado y del Despacho de Gracia y Jus ticia comunicó al Consejo, con fecha 29 de Mayo de este año, por medio del limo. Sr. decano de él, la Real orden que dice asi: ,,l!mo. Sr.: El Sr. Secretario de Estado y del Despacho de Hacienda, con fecha de 19 del corriente, m…</t>
  </si>
  <si>
    <t>1143</t>
  </si>
  <si>
    <t>…nda. Y la insertamos á V. para los fines que en la misma se previene; dán donos aviso del recibo. Madrid 9 de Octubre de 1817. 2.a Con fecha de 10 del corriente nos dice el Excmo. Sr. Secretario de Estado y del Despacho de Hacienda lo que sigue: „ hnterado el Rey nuestro Señor de una exposición de los condes de la Quintena y Gracia Real, y los marqueses de la Merced y Sta. Rita, veci nos de Andújar, en la que solicitaban se declarase si el servicio de lanzas y…</t>
  </si>
  <si>
    <t>…la bendice á su Rey y Señor, que tanto se desvela en hacerla fe liz y respetable. Estos son los votos de Curiel y de su alcalde mayor.” Circular de la Tesorería general. El Excmo. Sr. Secretario de Estado y del Despacho de Hacienda con fe cha de 23 de Setiembre último me comimicó te Real orden siguiente*^</t>
  </si>
  <si>
    <t>…V. S. para su inreligencia y gobier no; y de quedar V. S. enterado se servirá darme aviso. Madrid de Octu bre de 18x7. Circulares de la 'Dirección general de Rentas. 1.a El Excmo. Sr. Secretario de Estado y del Despacho de Hacienda ha comunicado á esta Dirección general de Rentas con fecha 6 del corriente mes la Real orden que sigue: Al Sr. duque presidente del Consejo Real digo con esta fecha lo siguiente; » Excmo. Sr.: El Rey se ha enterado del papel que me…</t>
  </si>
  <si>
    <t>…es 5303 zurrones de gra na ; 5 cajones de vainilla; 36 de tabaco torcido para S. M., y 80 de igual especie para particulares. Circular de la Dirección general de Rentas. El Excmo. Sr. Secretario de Estado y del Despacho de Hacienda ha</t>
  </si>
  <si>
    <t>…la benemérita Castilla, mientras sin cesar ruegan al Altísimo por la importante vida de V. M., la de la Reina nuestra Señora y Real Familia.” Circular del Consejo Real. El Excmo. Sr. Secretario de Estado y del Despacho de Gracia y Justicia comunicó al Excmo. Sr. duque del Infantado, presidente del Consejo, con fecha 11 de Octubre último la Real orden siguiente : ,, Excmo. Sr.: He hecho presente al Rey nuestro Señor cuanto V. E. ha expuesto en su oficio de 4 d…</t>
  </si>
  <si>
    <t>…se cumpla. Tendreislo entendido para los efectos convenientes. = Rubricado de la Real mano de S. M. = En S. Lorenzo á 30 de Octubre de 1817. = Al canciller de la Orden.” El Excmo. Sr. Secretario de Estado y del Despacho ha recibido con fe cha de 2 del corriente un oficio del señor presídeme de la junta suprema de Sanidad , cuyo tenor es el siguiente: „ Excmo. Sr.: Aunque por opinión propia de esta suprema junta de Sa^ nidad no ofrecían el menor cuidado las enf…</t>
  </si>
  <si>
    <t>…S. M. Danesa en la siguiente resolución comunicada por el ministro de Negocios extrangeros de aquel Monarca al plenipotenciario de S. M. , y transmitida por este al Ex celentísimo Sr. Secretario de Estado y del Despacho D. Josef García de León y Pizarro. ,, Atendiendo á las diferentes reclamaciones hechas por el enviado ex traordinario y ministro plenipotenciario de S. M. .el Rey de España, ha te nido á bien S. M. Danesa mandar que la Cámara Real de aduanas ex…</t>
  </si>
  <si>
    <t>Estado, Secretario del Despacho de</t>
  </si>
  <si>
    <t>Secretario del Despacho de Estado</t>
  </si>
  <si>
    <t>…e que les tr ca sin dilación alguna. erRubricado de la Real mano. = En Palacio á 16 de Febrero de 1817.=: Al duque Presidente del Consejo.” Circular del Ministerio de Hacienda. El Sr. Secretario del Despacho de Estado me dice con fecha de 9 del an terior lo que sigue: ,, Exorno. Sr. : Por el artículo 18 del tratado de 20 de Julio de 1814 en tre el Rey nuestro Señor y S. M. Cristianísima, debe la España, lo mismo que las' Potencias aliadas, renunciar en su totalidad las sum…</t>
  </si>
  <si>
    <t>…levar al cabo de perfección una obra, cuya primera piedra da idea de su suntuosidad. Asi lo siente, Señor, esta ciudad en su ayuntamiento.” Circular del Ministerio de Hacienda. El Sr. Secretario del Despacho de Estado me dice con esta fecha lo si guiente : „ Informado el Rey nuestro Señor del abuso que se hace de la cinta pe culiar de la Real y distinguida orden española de Carlos 111, llevándola con insignias propias de otros objetos, bien sea por significativa de grados…</t>
  </si>
  <si>
    <t>Estado, Seoretario del Despacho de</t>
  </si>
  <si>
    <t>Seoretario del Despacho de Estado</t>
  </si>
  <si>
    <t>992</t>
  </si>
  <si>
    <t>…pueblos de su territorio; y clel recibo de esta me dará aviso. Madrid 13 de Setiembre de 1817. Con fecha de 11 del corriente dirige el presidente de la suprema junta de sanidad al Sr. Seoretario del Despacho de Estado el oficio siguiente: „Exemo. Sr.: Con gusto paso á manos de V. E. original el adjunto ofi cio , parte quincenal, fecha 4 del corriente, del asistente de Sevilla, en re presentación de la junta superior de sanidad de la provincia, quien expresan do la buena sa…</t>
  </si>
  <si>
    <t>Esteban, Miguel Requejo</t>
  </si>
  <si>
    <t>Miguel Requejo Esteban</t>
  </si>
  <si>
    <t>712</t>
  </si>
  <si>
    <t>…rti Mateo Persielz, sobre un bajo desconocido, y que tiene de ii á 12 pies de agua. Se sal vó la tripulación y el cargamento de trigo, aunque todo averiado. Hallándose en poder de D. Miguel Requejo Esteban, agente de negocios de los Reales Consejos, una porción de escrituras de bastante Interes, pertenecientes á los hijos y demás herederos del difunto Antonio Martínez, encuadernador que fue de libros en esta corle, y vivió en la calle de las Fuentes, núm. 7, cu…</t>
  </si>
  <si>
    <t>…dicho señor y citada escribanía á deducir y exponer .lo que á su derecho conven ga; con apercibimiento de que pasado sin haberlo verificado les parará el perjuicio que haya lugar. D. Miguel Requejo Esteban, agente de negocios de los Reales Consejos, dará razón de un juro Real original en pergamino de primera antelación, su valor anual es de 150781 mrs., que pertenecen desde el año de 1805 á la Sra. Dona Francisca Xaviera de Escovedo, condesa de Cazalla del Rio;…</t>
  </si>
  <si>
    <t>Estepar, Santiago</t>
  </si>
  <si>
    <t>Santiago Estepar</t>
  </si>
  <si>
    <t>to i, manz. 326, para que ett el término de 15 dias acudan ante dicho señor juez por la escribanía de número de D. Santiago Estepar á pedir y deducir lo que les convenga; con apercibimiento que pasado dicho término, no compareciendo, se to mará la providencia que haya lugar, contándose dicho término desde el 25 del pa sado. En el corregimiento de Palencia por comisión del señor subdelegad…</t>
  </si>
  <si>
    <t>Estepar, Santiago de</t>
  </si>
  <si>
    <t>Santiago de Estepar</t>
  </si>
  <si>
    <t>…D. León de la Cámara Cano, del Consejo de S. M. en el supremo de Hacienda, teniente primero de corregidor de esta corte, y por la es cribanía de número y ayuntamiento del cargo de D. Santiago de Estepar, á ins tancia del R. P. prior del convento de S. Felipe el Real, orden de S. Agus tín de dicha corte, se cita, llama y emplaza por tercero y último término á todas las personas que tengan derecho de patronato á las capillas que en la iglesia de di cho convent…</t>
  </si>
  <si>
    <t>…on su intervención y audiencia. En virtud de providencia del Sr. D. León de la Cámara Cano, del Consejo de S. M., teniente corregidor de esta heroica villa, y por la escribanía de D. Santiago de Estepar, se venden las fincas siguientes.__;-En el Real sitio de S. Lorenzo una ca sa sita en la calle del Rey, rnanz. 56, con 6655 pies de sirio, y otra en la calle de la Cañada, manz. 68, con 2772 pies de sitio, rasadas en 1878 rs. vn._En el de Aranjuez una casa en…</t>
  </si>
  <si>
    <t>…Estéfani. = Josef de Boulígny. En virtud de providencia del Sr. D. León de la Cámara Cano, del Consejo de S. M., teniente corregidor de esta heroica villa, y por la escribanía de D. Santiago de Estepar, se venden las fincas siguientes. — En el Real sitio del Escorial una ca sa sita en la calle del Rey, manz. 56, con 6655 pies de sitio, y otra en la calle de la Cañada, manz. 68, con 2772 pies de sitio, tasadas en 187© rs. vn. —.En el de Aranjuez una casa en…</t>
  </si>
  <si>
    <t>272</t>
  </si>
  <si>
    <t>…das en 25057 idem. Las personas que quisiesen hacer postura á cualquiera de dichas fincas, sea á vales Reales ó á efectivo, ó bien á efectivo y vales, acudir án á la escribanía de D. Santiago de Estepar. A las t 2 en punto del dia 22 del corriente mes de Marzo en la audiencia del Sr. D. Andrés Oiler, del Consejo de S M., alcalde de casa y corte, y escribanía de provincia de D. Juan Antonio Díaz Noriega, se procederá al rem ite de una ca sa sita en el Real si…</t>
  </si>
  <si>
    <t>…ía del número de cargo de D. Francisco Alcázar. Por auto del Sr. D. León de la Cámara Cano, del Consejo de S. M., teniente corregidor de esta villa, por la escribanía de número de D. Santiago de Estepar , s.e ha señalado para el dia martes g de Junio próximo, á las 12 de su mañana el re mate de las fincas que antes se han subastado, y son las siguientes. Real sitio del</t>
  </si>
  <si>
    <t>…en esta corte el dia 26 de Mayo de 1812 abintestato, para que en el término de 30 días, contados desde el i.° del corriente, acudan ante dicho señor juez y escribanía de número de D. Santiago de Estepar á deducir su derecho; con la prevención de que pasado dicho término, no compareciendo, les parará el perjui cio que haya lugar. Para el remate de un pedazo de tierra labrantía y retamar, titulado Suertes de villa, sito en término del lugar de Alcorcen , perte…</t>
  </si>
  <si>
    <t>Estevez, Antonio</t>
  </si>
  <si>
    <t>Antonio Estevez</t>
  </si>
  <si>
    <t>…stablecida en Cádiz; D. Josef Miguel Formento, coronel de milicias de Fondo; D. Agustín Rodríguez y Fernandez, vecino de Montevideo; al capitán de fragata D. Juan Bautista Topete; D. Antonio Estevez, arcipreste de la colegiata de Medinaceli; Don Vicente Romero, oficial primero de la secretaría del despacho de Hacienda de Indias; D. Josef Villar y Frontín, oficial de la secretaría del despacho de Hacienda de España. Honores del tribunal de la Rota de la N…</t>
  </si>
  <si>
    <t>Estevez, Hipólito</t>
  </si>
  <si>
    <t>Hipólito Estevez</t>
  </si>
  <si>
    <t>…nto de dicha villa hasta fin de Setiembre de es te año. Elementos de veterinaria que escribió para uso de los alumnos de la Real escue la veterinaria de Madrid su segundo director D. Hipólito Estevez, con el título del Exterior del caballo', dos tomos en 4.0, adornados con tres láminas finas. Se hallará en la librería de Sanz, calle de las Carretas; en la de Villa, plazuela de Sto. Do mingo, y en el puesto de Vidal, gradas de S. Felipe,á 44 rs. en pasta,4…</t>
  </si>
  <si>
    <t>Estrada, Josef Abella</t>
  </si>
  <si>
    <t>Josef Abella Estrada</t>
  </si>
  <si>
    <t>…del regimiento de infantería de Burgos, y la sexta de la de Barcelona á D. Joaquín Chivras, alférez del regimiento, de caballería de Alcántara. El empleo de comisario de Guerra á D. Josef Abella Estrada, Por los distinguidos méritos que ha contraído D, Joaquín de Mosquera y Figueroa, del Consejo y Cámara de Indias, y fiscal de la asamblea suprema de la Real orden americana de Isabel la Católica, se ha servido S. M. conce derle la merced de caballero gran cru…</t>
  </si>
  <si>
    <t>Estrada, Juan María</t>
  </si>
  <si>
    <t>Juan María Estrada</t>
  </si>
  <si>
    <t>…Los expresados fueron á residir en lós parages que eligieron. = Paztcuaro Marzo 6 de 1817. = Amonio de Linares.” Sigue la lista de los presentados al indulto en la misma fecha. : „D. Juan María Estrada, que era espitan y segundo de ia gavilla de Sancli ez, y ha quedado en esta ciudad con el empleo de capitán de la partida de indultados con quienes se presentó, y son los siguientes: D. Manuel Oteiza, D. Antonio Trevíño , D. Damian Arandía , D. Remigio Nieto…</t>
  </si>
  <si>
    <t>Estrada, Julián Alonso y</t>
  </si>
  <si>
    <t>Julián Alonso y Estrada</t>
  </si>
  <si>
    <t>…a á to dos los acreedores á los bienes de D. Pedro López, de esta vecindad, ya difunto, para que dentro del término de 30 dias comparezcan ante S. S. y escribanía de pro vincia de D. Julián Alonso y Estrada á legitimar sus créditos por medio de procu rador con poder bastante, contados desde 30 del pasado. Tratado de las plantas venenosas y sospechosas: obra en la cual se hace conocer todas las plantas cuyo uso puede llegar á ser el origen de algunos accidentes m…</t>
  </si>
  <si>
    <t>Estraviz, Domingo</t>
  </si>
  <si>
    <t>Domingo Estraviz</t>
  </si>
  <si>
    <t>…deas y población á su in mediación , y á media legua la villa de Ares, de 600 vecinos, con solo un cirujano# Los pretendientes dirigirán su instancia al secretario de ayuntamiento D. Domingo Estraviz; en inteligencia que dicha plaza se proveerá en i.° de Diciembre próximo. Quien tuviese noticia del paradero de D. Manuel de Rivas Albear y Perez de Soto, natural del valle de Soba, montañas de Santander, que pasó á América mu chos años hace, y si en caso de…</t>
  </si>
  <si>
    <t>Eu, Josef</t>
  </si>
  <si>
    <t>Josef Eu</t>
  </si>
  <si>
    <t>…biéndose presentado en seguida los discípulos D. Policarpo Aragón , D. Josef Martínez y Yanguas, D. Domingo de Arribas y Cáceres, D. Antonio López de Córdoba, D. Ignacio Clemente, D. Josef Eu genio de Sobrado y D. Manuel María de Sobrado, y sorteándose entre ellos el orden con que debían ser examinados, explicaron la teoría del arte con ar reglo al impreso que se distribuyó entre los concurrentes, y contestaron con aquella soltura y despejo que na…</t>
  </si>
  <si>
    <t>Euge</t>
  </si>
  <si>
    <t>Gaceta de Madrid n.º 57</t>
  </si>
  <si>
    <t>…1 se habían observado en Harfeld ma yores austeridades que las que se usaban antes de la revolución en la Trapa; pero cuando se reunieron los .religiosos de aquella casa, en 1814 ,Don Euge nio creyó deberles aconsejar que se atuviesen á la reforma y á las observacio nes del abad de Raneé; y S. S. por un rescripto de 10 de Octubre de 1816, dirigido al superior del monasterio de Port-Salut, autorizó á los que acos tumbraban á hacer las mayores au…</t>
  </si>
  <si>
    <t>Eugenio</t>
  </si>
  <si>
    <t>…res; pero estuvo poco tiempo tranquila; porque la invasión de los Países-Bajos por los franceses obligó á los religiosos á bus car asilo en otra parte. A principio del año de 1796 Don Eugenio (el abate Bonhomme de la Prade) fundó su monasterio en un bosque cerca de Harfeld, en el obispado de Munster en Westfalia, y allí dotado de un zelo infa tigable, reunió 60 religiosos y 100 muchachos, á quienes daba casa, vestido, comida y educación , y ademas…</t>
  </si>
  <si>
    <t>Excmo</t>
  </si>
  <si>
    <t>…empeñado un fuego horroroso por mas de tres horas , se rechaza gloriosamente al enemigo, y se le obliga á retirarse con vergüenza y pérdida de cerca de 100 hombres. ,,Ño es fácil, Sr. Excmo., calcular todas las desventajas que hubiera traído á la causa del Rey la ocupación de esta capital -, porque reforzado con siderablemente el enemigo , y batidas en detalle todas las guarniciones de las provincias vecinas, como parece probable, el egéicito ha…</t>
  </si>
  <si>
    <t>Exmouth</t>
  </si>
  <si>
    <t>182</t>
  </si>
  <si>
    <t>…n tenido por resultado la mas completa vic toria. La gloriosa expedición de la escuadra de S. M., combinada con otra del Rey de los Países-Bajos, al mando del bizarro almirante el vizconde Exmouth , ha puesto en absoluta libertad á todos los cristianos que se hallaban cautivos en el territorio de Argel, obligando á esta regencia á firmar un con venio de no hacer esclavos en adelante. No dudo que apreciareis debidamen te un tratado tan importante para e…</t>
  </si>
  <si>
    <t>122</t>
  </si>
  <si>
    <t>…de tres obispos, cuyas sillas están vacantes.___La Dicta de Polonia debía abrirse el 20 del corriente. GRAN BRETAÑA. Londres 2 de Febrero. Anteayer presentó el lord corregidor al almirante Exmouth la espada que resolvió el ayunramiento de Londres regalar á este lord en reconocimiento de los servicios hechos en el ataque de Argel. El segundo regimiento de húsares, de que el Príncipe Regente es coro nel, ha recibido orden de venir á Londres, y ya ha sali…</t>
  </si>
  <si>
    <t>…únez, cuyos capitanes refieren que el almirante de la escuadra de los Es tados-Unidos ha impuesto la ley á los berberiscos en el tratado concluido con ellos como antes había hecho lord Exmouth. Liorna 23 de Muero. Nuestro augusto Soberano acaba de expedir una orden autorizando el establecimiento de una junta de caridad, que tendrá por objeto la educan cion de los sordo-mudos, y para este laudable efecto se ha dignado S. A, I.</t>
  </si>
  <si>
    <t>388</t>
  </si>
  <si>
    <t>…observaron en su conducta con perjuicio de la rigurosa custo dia en que el bien de la humanidad ha prescrito mantener á aquel personage. Londres 24 de Marzo. Hace algunos dias que lord Exmouth va con frecuencia al almirantazgo, y se ha esparcido la voz de que es necesario hacer otra expedición á Argel, Es verdad que ni los comandantes de nuestros cruceros ni los cónsules han dado parte de que aquella regencia haga nuevos preparativos, ni tenemos mo…</t>
  </si>
  <si>
    <t>…e que los beyes de Túnez y de Trípoli siguen en los mismos procedimientos con las potencias cristianas; que sus fuerzas están en el mismo estado que al tiempo de la ex pedición de lord Exmouth; que en cuanto al dey de Argel, ha restablecido en mucha parte las fortificaciones del puerto, y que su marina cuenta ya 18 bergantines armados, que maniobran todos los dias en la rada á su presen cia----- Las tropas de tierra aman con extremo al bey, quien h…</t>
  </si>
  <si>
    <t>…a que el Gobierno ha prohibido á lordCochrane el ir á la Amé rica meridional en un buque de tantas toneladas como el que había compra do con este designio. Idem 22. Se asegura que lord Exmouth debe tomar el mando de una nueva expe dición que se prepara en Inglaterra, sin que se sepa adonde debe dirigirse ni cual sea su objeto, bien que muchos son de opinión que su destino es Argel ó Buenos-Aires. El duque de Wellington ha llegado aquí acompañado d*…</t>
  </si>
  <si>
    <t>…a la suma y pena por que se pres taron tales seguridades. Dada en Puerto de España &amp;c.” La gaceta de Londres de 26 de Abril anuncia que el Príncipe Regente ha concedido licencia á lord Exmouth para usar Jas insignias de las ordenes de caballería concedidas á S. E. por ios Reyes de España, Nápoles, Cerdeña y Países-Bajos, poE la destreza y valor que manifestó en el ataque de Argel. Idem y. El lord canciller, los vizcondes Sidmouth , Castlereagh y el…</t>
  </si>
  <si>
    <t>…Londres 12 de Mayo. El conde Talbot debe reemplazar en el verano próximo á lord Whitworth en el gobierno de Irlanda, para lo que está haciendo ya sus prepa rativos. Se asegura que lord Exmouth debe marchar muy pronto á reemplazar al almirante Duckworth en el mando del apostadero de Terranova. Un mercader de paños llamado Mittchel acaba de ser arrestado y condu cido á Tewer como reo de alta traición. Los periódicos de Calcuta de 5 de Noviembre dicen…</t>
  </si>
  <si>
    <t>…mas de 8 mi llones de libras esterlinas; en 1815 de unos 6 millones, y en 1816 de algo mas de 5 millones. En algunos periódicos del 12 del corriente se dijo equivocadamente que el almirante Exmouth iba á reemplazar ai almirante Duckworth en el apos tadero de Terranova, debiendo decir que es el almirante Pickmore. FRANCIA. Commercy 19 de Mayo. El general en gefe barón de Ziethen está pasando revista á las tropas prusianas acantonadas en Francia. El 12 y…</t>
  </si>
  <si>
    <t>Ezquerdo, Onofre</t>
  </si>
  <si>
    <t>Onofre Ezquerdo</t>
  </si>
  <si>
    <t>…^o, dependiente de la plaza de la Coruna , al teniente coronel D I mis Postillón, capitán retirado en esta plaza; y la sargentía mayor de Badajoz al teniente coronel de infantería D. Onofre Ezquerdo. Pava el remate de una huerta, sita en termino del lugar de Viílaverde, de esta jurisdicción, y sitio que llaman Prado caballo, que parte está de hortaliza y parte de secano, de 9 fanegas, 8 celemines y 32 estadales, linda por poniente con otra de los propios…</t>
  </si>
  <si>
    <t>Fagan</t>
  </si>
  <si>
    <t>…e dentro de pocos dias. Morían de dicha fiebre tres personas al dia en la semana última, y se habia cortado la comunicación de la ciudad con los pueblos inmediatos. Ayer mañana el coronel Fagan entregó al ministerio de las Colonias va rios pliegos de Sir Hudson-Lowe, gobernador de Sta. Elena. La gaceta del Gobierno de Calcuta de 13 de Marzo último confirma la noticia de la toma del fuerte importante de Hattras por Las armas inglesas. El Di:^ram se s…</t>
  </si>
  <si>
    <t>Fajar, Antonio</t>
  </si>
  <si>
    <t>Antonio Fajar</t>
  </si>
  <si>
    <t>…Blanco; D. Miguel García Carrasquedo; D. Francisco Es cudero; D. Ildefonso Ruiz del Rio; D. Luis Gargollo; D. Josef López del Diestro ; D. Andrés Marzan; D. Juan Miguel de Lostra; D. Antonio Fajar do; D. Tomas Urrutia; D. Josef Xavier de Zuluaga y D. Josef de Veamurguía, individuos de la junta de reemplazos establecida en Cádiz; D. Josef Miguel Formento, coronel de milicias de Fondo; D. Agustín Rodríguez y Fernandez, vecino de Montevideo; al capitán de…</t>
  </si>
  <si>
    <t>Faralt, Cayetano</t>
  </si>
  <si>
    <t>Cayetano Faralt</t>
  </si>
  <si>
    <t>…rte de Cataluña: del modo de defender las legumbres de gorgojo; del cultivo de las plantas que dan aceite; sobre el tinte de la larra, seda y algodón; sobre el nuevo destilador de D. Cayetano Faralt; sobre una nueva prensa para enfardar, y sobre un autógrafo ó máquina para copiar escritos y dibujos. Se vende con los anteriores en la librería de Martínez, frente á S. Felipe el Real; en Barcelona en la de Brussi; en Cádiz en la de Pajares; en Valencia en l…</t>
  </si>
  <si>
    <t>Farquhar</t>
  </si>
  <si>
    <t>…salió de Calcuta el 19 de Abril, de Madras en i.° de Junio, y de Sta. Helena en 14 de Agosto. Ha traído pliegos no solo del mar ques de Hastings y de Mr. Elliot, sino también del gobernador Farquhar y de sir Hudson Lowe. FRANCIA. Parts 20 de Octubre. Carlos Monier fue trasladado ayer á la cárcel de Bicetre, donde debe es tar preso toda su vida; pues habiéndole sentenciado á muerte el tribunal cri minal de París por delito de lesa magestad, el Rey ha conm…</t>
  </si>
  <si>
    <t>Faura, Josef María</t>
  </si>
  <si>
    <t>Josef María Faura</t>
  </si>
  <si>
    <t>…Francisco Dicroh, alférez de dragones de la Reina : la segun da de la misma plaza á D. Gines Cánovas, sargento primero de dragones de Almansa; y la segunda de la plaza de Lérida á D. Josef María Faura, alférez del regimiento de caballería de Farnesio. En América. La subinspeccion general de las tropas del reino de Goatemala al brigadier D. Antonio Gaspar Blanco, subinspector de infantería del egército expedicionario; y el gobierno de S. Agustín de la Flori…</t>
  </si>
  <si>
    <t>Fayula, Juan</t>
  </si>
  <si>
    <t>Juan Fayula</t>
  </si>
  <si>
    <t>…jbsa, de Lebrija, y D. Antonio Rodríguez Ferrer, de Moron : en sintaxis, prosodia y arte métrica D. Benito de Salas y Vida! y D. Luis García Monge, ambos de Lebrija: en rudimentos D. Juan Fayula, D. Pedro Garfia, D. Pablo Pavón, D. Juan de Quintaniila, D. Francisco Xavier Morales, D. Rafael Muñoz, todos de Lebrija, y D. Francisco de Paula González y Peña, de Sanlucar de Barrameda : en gramática castella na D. Josef Perez de la Torre de las montañas d…</t>
  </si>
  <si>
    <t>Fé</t>
  </si>
  <si>
    <t>…de ellas. En la escritura de primer or den mereció el primer premio Venancio Huarte y el segundo Luis Loitegui, habiéndose acercado á merecerlos Francisco Iriarte, Julián Aguirre, D. Fé lix Barbería y Josef Suarez. En la escritura de segundo orden ganó el pri mer premio Justo de Pastor y el segundo Miguel Elizaide, habiéndose acer cado á merecerlos Faustino Huarte y Valentín Cartier. En la escritura de tercer orden obtuvo el primer premio Jo…</t>
  </si>
  <si>
    <t>Fé, Juan</t>
  </si>
  <si>
    <t>Juan Fé</t>
  </si>
  <si>
    <t>…recogerlos puntualmente con ios papeles y documentos que presentó para la formación del referido despacho, en es ta corte en casa de D. Antonio Rújula y Busel, hijo del mencionado D. Juan Fé lix de Rújula, cronista y rey de armas de S. M. reinante , que vive calle de Ja Ru da, núm. 5, cuarto principal, quien lo entregará todo. El partido de médico titular de la villa de Yunclillos, Sagra de Toledo, tres leguas de esta ciudad y nueve de Madrid, se…</t>
  </si>
  <si>
    <t>Federico, Carlos</t>
  </si>
  <si>
    <t>Carlos Federico</t>
  </si>
  <si>
    <t>…e las Princesas de la línea del margrave Luis de Badén. 4.0 En seguida los descendientes varones de las Princesas de las tres lí neas descendientes del segundo matrimonio del gran duque Carlos Federico, á saber: primero de la línea del margrave Carlos Leopoldo-Federico; des pués los de la línea del margrave Guillermo Luis Augusto, y en ftn los de la lí nea del margrave Maximiliano Federico Juan Ernesto. Sin embargo se previene que en ningún caso podrá pasar…</t>
  </si>
  <si>
    <t>Federico, Cirios</t>
  </si>
  <si>
    <t>Cirios Federico</t>
  </si>
  <si>
    <t>…consentimiento de los Príncipes de la casa reinante, declaró y reco noció el derecho de sucesión eventual de los tres condes de Hochberg, naci dos del segundo matrimonio del gran duque Cirios Federico. El gran duque actual, deseoso de manifestar la profunda veneración que conserva i su ilustre abuelo, declara , en virtud de la soberanía que le per tenece , á los tres condes de Hochberg príncipes grandes duques y margraves de Badén, con título de Alteza; y…</t>
  </si>
  <si>
    <t>Fél</t>
  </si>
  <si>
    <t>…uve obligándolos á permanecer en los siguientes: al alférez de Zamora D. Simón Ambros en el baluarte de S. Fer nando, objeto de mayor peligro, junto con el cadete del mismo cuerpo Don Fél ix Surbaran, que se porro y trabajó con la mayor serenidad; al tenien te del mismo D. Juan del Villar, destinado á las salidas en la torre, tam bién blanco del enemigo; al subteniente del mencionado D. Francisco Pas tor en el hospital inmediato al baluarte de…</t>
  </si>
  <si>
    <t>Feli</t>
  </si>
  <si>
    <t>…os. Campo de S. Josef 10 de Junio de i8i7. = Félix de Cevallos.reSr. comandante general brigadier D. Joaquin de Arredondo.” S. E. ha mandado se den las debidas gracias al teniente coronel D. Feli pe de la Garza, al capitán D. Félix de Cevallos y á los demas que mencio nan , ordenando á aquel gefe siga sus operaciones hasta concluir con los mal vados de aquel rumbo y su fortín en Soto la Marina. Madrid 14 de Noviembre. El Real cuerpo de maestranza de c…</t>
  </si>
  <si>
    <t>Felipe</t>
  </si>
  <si>
    <t>…otros; por todo lo cual merecieron una completa aprobación de los individuos de la junta y concurrentes los sugetos siguientes: D. Francisco de Villota á los 14 meses de estudio: D. Felipe de la Puente, D. Miteo Regil, D. Jorge de Urioste, D. Juan de Murrieta y D. Ildefonso de Llano á los 20 meses: D. Anto nio de Calera á los 16: D. Juan de Arredondo á los 14 ; y D. Segundo de Olavarriaá los 22 , sin contar otros tres , que también instruidos c…</t>
  </si>
  <si>
    <t>…l. „ Borja, Señor, siempre fiel en conservar y defender los derechos de V. M., y por haberlo sido con tanta constancia á principios del siglo último ni augusto Abuelo, de V. M. el Sr. D. Felipe v, le dispensó diferentes gracias, y entre ellas fue la de aumentar á sus armas la flor de Lis , el León y la Co rona Imperial, con el lema que tanto la ensalza de la muy noble, muy leal, saqueada por ser siempre fidelísima ciudad de Borja. ,,Esta singular me…</t>
  </si>
  <si>
    <t>…ncursiones poste riores, y especialmente en la de los sarracenos, se nos refieren los hechos y hazañas heroicas de los arandinos, y en el reinado de vuestro augusro pre decesor el Sr. D. Felipe m hay muchos documentos que califican d aprecio que aquel país mereció á sus Soberanos por su fidelidad y obediencia. „Sin embargo, Señor, Aranda y toda su tierra, auñtju; siempre amantes de sus Reyes, han hecho durante la irrupción francesa, para ob-equlo ju…</t>
  </si>
  <si>
    <t>…y nuestro Señor, cuya bondad es ilimitada, dispensó al cuerpo la singular fineza de pernoctar en el Real alcázar, siendo notable que desde 204 años á esta parte, en que lo hizo el Sr. D. Felipe 111, no habia ocurrido otro egemplar. SS. MM. y AA. se retiraron, y pasaron la noche sin ia me nor novedad en su importante salud. Antes de las siete de la mañana del siguiente día 24 salió S. M. sin apa rato, y acompañado únicamente del capitán de la Real Gu…</t>
  </si>
  <si>
    <t>…irey acaba de recibir con oficio de 10 del corriente del comandante de las provincias internas de Oriente D. Joaquín de Arre dondo los partes- siguientes: i.° Del teniente ceronel D. Felipe de la Garza. ,,Habiendo esperado en el parage de la Peña las órdenes de V. S. desde el 4 al 5 , como se 'lo participé en mi oficio de aquella fecha, y no te niendo contestación, me resolví á seguir mi marcha por el cañón que llaman del Diablo con dirección á…</t>
  </si>
  <si>
    <t>…o para el Exorno. Sr. virey, que contiene oficios del capitán D. Rafael Fernandez desde Tula, en que avisa que el rebelde Mina es perseguido por $co caballos al mando del teniente coronel D. Felipe de la Garza y capitán D. Juan Josef Llanos. „ Asimismo dice que el dia que Mina se separó de la Marina, el P. Mier hizo lo mismo para los Estados Unidos, que nuestras tropas le siguen, y que el batallón de Fernando vil de línea está unido con el señor Arredon…</t>
  </si>
  <si>
    <t>&gt;13391 desde el reinado de mi augusto Abuelo D. Felipe n, de gloriosa memoria, por las vicisitudes de las cosas humanas, y por los singulares y extraordina rios acaecimientos en España han podido padecer alguna novedad en su ob servancia los estatutos , para darles un nuevo vigor é impulso, y hacer que brille el…</t>
  </si>
  <si>
    <t>Feliú, Vicente Sisternes y</t>
  </si>
  <si>
    <t>Vicente Sisternes y Feliú</t>
  </si>
  <si>
    <t>…infantería; y la capitanía de llaves de la de Santo Domingo á D. Nicolás Saiz, sargento primero del cuerpo veterano de la misma. En atención al mérito y particulares servicios de D. Vicente Sisternes y Feliú, caballero supernumerario de la Real distinguida orden española de Carlos ni, se ha dignado el Rey hacerle merced de la cruz de número pen sionada de la misma.</t>
  </si>
  <si>
    <t>Félix</t>
  </si>
  <si>
    <t>…imiento, y es contraído á la fuga de los rebeldes de la fortificación de Piastla, recomen dando á V. E. las fatigas de las tropas del mando de dicho gefe y del de igual graduación D. Félix de la Madrid, como lo hacen uno y otro , quedan do yo con el cuidado de elevar á V. E. las noticias que me comuniquen del resultado de la persecución que ha hecho la tropa á los rebeldes fugados y demas que ocurra posteriormente, habiendo aprobado la disposic…</t>
  </si>
  <si>
    <t>…V. E. muchos años. Puebla Abril 1.° de i8i7.=Excmo* Sr.r= Ciríaco de Llano. = Excrno. Sr. virey D. Juan Ruiz de Apodaca.” Varié de los tenientes coroneles D, Saturnino Samaniego y D. Félix de la Madrid. „ Después de 30 días de un sitio estrecho acaban los rtbeldes de las tres distintas fortificaciones, que los cabecillas Guerrero y Juan del Carmen te nían sobre Ja montaña de Xonacatlan , de ser destruidos en la salida á viva fuerza, que egeouta…</t>
  </si>
  <si>
    <t>…es de Jonacatlan, una partida de 80 infantes del batallón de Guanajuato ,á las órdenes del subteniente D. Joaquín de Miranda, por la parte de Álcosauca, mientras yo y el te niente coronel D. Félix de la Madrid reconocíamos dicho pueblo, fue atacada aquella por los rebeldes que salieron de sus fortines en número de mas de 200, ataque que rechazó aquel oficial, haciéndolos replegar á sus fortificaciones, habiendo muerto el cazador de Guanajuato Ignacio I…</t>
  </si>
  <si>
    <t>Fer</t>
  </si>
  <si>
    <t>…DEN AMERICANA DE ISABEL LA CATOLICA* Grandes Cruces Al M. R arzobispo de Santa Fe de Bogotá; á los tenientes generales D. Toribio Montes y D. Juan Henestrosa; al mariscal de campo D. Fer nando Miyares, y al ministro del Consejo supremo de Indias D. Josef Aicinena, Comendadores Al mariscal de campo D. Josef María Jalón; á los brigadieres marques de Sta. Cruz de Rivadulla; D. Pedro de la Cuesta; D. Ciríaco de Llano; D. Juan Josef Olazabal; á D.…</t>
  </si>
  <si>
    <t>…o con la debida solemnidad en la iglesia parroOjüiaí de S. Gines de esta corte, siendo su madrina la Serma.Sra. Infanta Doña María Francisca de Asís, y en su Real nombre el Excmo. Sr. D. Fer nando Qneypo de Llano, gentilhombre de cámara de S. M. con egercicio, y secretario de cámara del Sermo. Sr. Infante D. Carlos María y de su A. R. ia Serina Sra. Infanta Doña María Francisca de Asís; habiéndosele puesto el nombre de María Francisca de Asís por…</t>
  </si>
  <si>
    <t>Fer, Antonio</t>
  </si>
  <si>
    <t>Antonio Fer</t>
  </si>
  <si>
    <t>…o, calle de las Carretas, frente al correo, y en la de Brun, frente á las gra das de S. Felipe: puede ir en carta. Reflexiones sobre las calenturas remitentes é Intermitentes, por D. Antonio Fer nandez, cirujano de la Real familia, y pensionado por S. M. = El mas arrogante esfuerzo de la milicia española: comedia en cinco actos de D. A. F. y D.: un to mo en 8.°~El Heredero: comedia en prosa en tres actos, por D. Francisco Xa vier de Burgos: un tomo e…</t>
  </si>
  <si>
    <t>Fer, Antonio Villa</t>
  </si>
  <si>
    <t>Antonio Villa Fer</t>
  </si>
  <si>
    <t>…an, residente en esta corte, se ha acu dido ante el Sr. D. Joaquín Almazan, del Consejo de S. M. , teniente primero de corregidor de esta heroica villa, y escribanía del numero de D. Antonio Villa Fer nandez, exponiendo que en 24 de Julio de este ano libraron Jos señores Henrique, Francisco Broske y compañía, del comercio de Londres, á uno y medio, y orden de D. J. C. de Bernales. una letra primera de cambio por valor de 2690 pesos de 128 cu irtos, 5 reale…</t>
  </si>
  <si>
    <t>Fer, Lorenzo</t>
  </si>
  <si>
    <t>Lorenzo Fer</t>
  </si>
  <si>
    <t>…villa, refrendada del escribano del nú mero D. Tomas María Manrique, se cita, llama y emplaza por término de 30 días, contados desde esta publicación, á D. Manuel Saenz del Prado, D. Lorenzo Fer nandez de León, D. Juan Lorenzo Sánchez Cueto, D. Luis Franco, Doña Librada Perez Escovar, D. Joaquin Antonio Román, los Sres. Alzueta y Beratarrechea, D. Rafael Rodríguez, D. Juan de Dios Elias, los Sres. Bohe, hermanos y compa ñía, D. Mariano de Urbieia, D.…</t>
  </si>
  <si>
    <t>Fer, Manuel</t>
  </si>
  <si>
    <t>Manuel Fer</t>
  </si>
  <si>
    <t>…á ella acu da ante dicho señor y citada escribanía dentro del término de 30 dias, contados desde el dia 16 del corriente. En virtud de providencia de ir del corriente dada por el Sr. D. Manuel Fer nandez Gamboa, del Consejo de S. M., alcalde de su Real casa y corte, y refren dada del escribano de provincia D. Valdomero Moraleda, se cita, llama y emplaza ó todas y cualesquier personas que se crean con derecho á los bienes quedados por el fallecimiento a…</t>
  </si>
  <si>
    <t>Fernan, Manuel</t>
  </si>
  <si>
    <t>Manuel Fernan</t>
  </si>
  <si>
    <t>…nso sobre la misma casa á favor del vín culo al rédito de 3 por 100 ; la que se ha mandado publicar por el término de 15 dias, contados desde el 29 del pasado, por providencia del Sr. D. Manuel Fernan dez Gamboa, del Consejo de S. M., alcalde de su Real casa y corte, de 26 del pa sado. La persona que quisiere hacer mejora acuda ante dicho señor y escribanía de provincia de D. Valdomer© Moraleda, que se le admitirán las que hiciere siendo .arregladas. En vi…</t>
  </si>
  <si>
    <t>Fernandez, Agustín Rodríguez y</t>
  </si>
  <si>
    <t>Agustín Rodríguez y Fernandez</t>
  </si>
  <si>
    <t>…as Urrutia; D. Josef Xavier de Zuluaga y D. Josef de Veamurguía, individuos de la junta de reemplazos establecida en Cádiz; D. Josef Miguel Formento, coronel de milicias de Fondo; D. Agustín Rodríguez y Fernandez, vecino de Montevideo; al capitán de fragata D. Juan Bautista Topete; D. Antonio Estevez, arcipreste de la colegiata de Medinaceli; Don Vicente Romero, oficial primero de la secretaría del despacho de Hacienda de Indias; D. Josef Villar y Frontín, oficial de…</t>
  </si>
  <si>
    <t>Fernandez, Angel</t>
  </si>
  <si>
    <t>Angel Fernandez</t>
  </si>
  <si>
    <t>…ña: para la vara de alcalde mayor teniente de corregidor mas moderno de esta muy heroica villa, vacante por ascenso de D. León de la Cámara Cano á la fiscalía del Almirantazgo , á D. Angel Fernandez de los Ríos : para el corregimiento de letras de la ciudad de Palencia, vacante por muerte de D. Manuel de Villapadierna, á D. Agustín Tosantos y Laprada, corregidor de la ciudad de Guadix: para este corregimiento á D. Honorio María de Muro, que lo era de Alm…</t>
  </si>
  <si>
    <t>Fernandez, Antonio</t>
  </si>
  <si>
    <t>Antonio Fernandez</t>
  </si>
  <si>
    <t>…D. Manuel Ximenez 300: Juan de la Vega 12 : Miguel Muñoz 60: Doña Francisca Carrasco 50: Salvador Cas co 10: Diego de Castro 12: D. Rafael Caballero 40: D. Salvadar Carruana 100: D. Antonio Fernandez 200: Francisco García Ruiz 60.__ To ta! 6061. Debiendo subastarse los suministros de paja y cebada que consumen las Reales caballerizas, brigada del Real cuerpo de Guardias de la Persona de S. M., caballería de esta plaza, escuadrones de artillería y transeún…</t>
  </si>
  <si>
    <t>…. Real y supremo Consejo de Castilla, precedida la apro bación de la Real junta superior de Medicina, é informe de la de Farmacia, se sirvió S. M. en 28 de Marzo último conceder á D. Antonio Fernandez , pen sionado de mérito por S. M. , Real privilegio exclusivo para vender el jara te pectoral corroborante que ha inventado para curar las toses pertinaces, corroborar el pulmón, y contener las hemotisis pasivas, el cual se ha anuncia do ya en la gaceta. Mas…</t>
  </si>
  <si>
    <t>…z , D. Aquilino Lu nar, D. Pedro Gómez, D. Celedonio Casado, D. Vicente Berdion , Don Joa quín Lumeras, D. Tomas Asensio, D. Mateo Rodriguez, D. Valentín Ga veta, D. Pedro Martin, D. Antonio Fernandez, D. Andrés Redondo, Don Federico Movilla, D. Bernardo Huelga, D. Esteban Blanco, D. Miguel Alonrso, D. Cesáreo Viguera, D. Miguel Chana, D. Antonio Castro, D. Toribio González, D. Santiago Alonso, D. Tomas Pardo, D. Ignacio Ojero, Don Fernando Movilla, D. Man…</t>
  </si>
  <si>
    <t>Fernandez, Antonio Villa y</t>
  </si>
  <si>
    <t>Antonio Villa y Fernandez</t>
  </si>
  <si>
    <t>…misma cantidad en dinero metálico. La persona que quisiere hacer mejora acuda en dicho dia y hora, ó antes, ante el citado señor teniente, por la escribanía del níimero que egerce D. Antonio Villa y Fernandez; en inteligencia que e! remate no ha de tener efecto hasta que merezca la aprobación de los señores de la Real cámara, de cuyo mandato se hace esta subasta. Nuevo método para las operaciones de cambios: obra original escrita por Don Joaquín de Iturburu, y div…</t>
  </si>
  <si>
    <t>…ino y del comercio de la ciudad de Cádiz, se ha acudido ante el Sr. D. Joaquín Almazan, del Consejo de S. M., teniente corregidor de esta villa, y escribanía del número que egerce D. Antonio Villa y Fernandez, reclamando el reintegro de un vale Real de 300 pesos de i.°</t>
  </si>
  <si>
    <t>Fernandez, Francisco Gallardo</t>
  </si>
  <si>
    <t>Francisco Gallardo Fernandez</t>
  </si>
  <si>
    <t>…endrá la bondad de avisarlo al cura párroco de dicha villa de Almoguera. Origen, progresos y estado actual de las rentas de la Corona de España, su go bierno v administración, por D. Francisco Gallardo Fernandez, oficial que fue de la secretaría de Hacienda: siete tomos 014.° Véndense juntos ó separados en el des pacho de la imprenta Real. Estado general de la Real Armada, añode 1817,.con un apéndice que con tiene las Reales órdenes expedidas por la secretaría de Est…</t>
  </si>
  <si>
    <t>Fernandez, Luis</t>
  </si>
  <si>
    <t>Luis Fernandez</t>
  </si>
  <si>
    <t>I5l de fabricantes de aquella ciudad, que vivía y se hallaba en esta corte D. Luis Fernandez, visitador general de tintes, quien en otro tiempo habia estableci do y enseñado esta facultad con éxito feliz no tan solo en Segovia, sino también en Valencia, Toledo (su patria), y en otras fabricas, acudieron dt Rey nuestro Señor por la Secretaría de Estad…</t>
  </si>
  <si>
    <t>Fernandez, Manuel Lasobo</t>
  </si>
  <si>
    <t>Manuel Lasobo Fernandez</t>
  </si>
  <si>
    <t>…mpa nario, para Alange: D. Francisco Martinez, médico de número del egérciro, para la Fuente de Loro: en Galicia D. Benito Sanjurjo, médico de la ciudad de Orense, para Cortegada: D. Manuel Lasobo Fernandez, médico de Cal das de Reyes, para los baños de este mismo nombre: D. Manuel Domín guez, médico del lugar y monasterio de Santos, para Caldas de Cuntís: Don Pedro Sanjurjo, médico de la ciudad de Tuy, para Caldelas de este nombre: en el reino de Murcia D. Juan…</t>
  </si>
  <si>
    <t>Fernandez, María Antonia</t>
  </si>
  <si>
    <t>María Antonia Fernandez</t>
  </si>
  <si>
    <t>…ente corregidor de esta villa, su fecha 15 del corriente, y escribanía del número de Don Antonio López de Salazar, se cita, llama y emplaza á los acreedores á la testamen taría de Doña María Antonia Fernandez para que en el preciso y perentorio térmi no de 20 dias acudan ante dicho señor juez, por sí ó por medio de apoderados, á</t>
  </si>
  <si>
    <t>Fernandez, Meliton</t>
  </si>
  <si>
    <t>Meliton Fernandez</t>
  </si>
  <si>
    <t>…s (D. Tomas de Inarte), á rs.__Sátira contra los vicios introducidos en la poesía castellana, por D. Juan Pablo Forner, á i\ rs.—Lección poética, sátira sobre el mismo asunto, por Don Meliton Fernandez, á 2§ rs. —Elogio del Rey D. Alonso el Sabio, por D. Josef de Vargas y Ponce, á 2§ rs. —Elogio de D. Alonso Tostado, obispo de Avila, por D. Josef de Viera y Clavijo, á 2§ rs.__Elogio del Excmo. Sr. marques de San ta Cruz, escrito por D. Nicasio Alvarez de Ci…</t>
  </si>
  <si>
    <t>Fernandez, Rafael</t>
  </si>
  <si>
    <t>Rafael Fernandez</t>
  </si>
  <si>
    <t>…on fecha 10 del presente me dice el comandante militar de S. Luis Potosí lo que copio. „Acompaño á V. S. ese interesante pliego para el Exorno. Sr. virey, que contiene oficios del capitán D. Rafael Fernandez desde Tula, en que avisa que el rebelde Mina es perseguido por $co caballos al mando del teniente coronel D. Felipe de la Garza y capitán D. Juan Josef Llanos. „ Asimismo dice que el dia que Mina se separó de la Marina, el P. Mier hizo lo mismo para los Estad…</t>
  </si>
  <si>
    <t>Fernandez, Ramón</t>
  </si>
  <si>
    <t>Ramón Fernandez</t>
  </si>
  <si>
    <t>…lesia, opinaron constantemente contra el uso del tormento. Tratado de la tisis, sus síntomas, sus causas, sus diferencias y curación: por Mr. Jeannet des Longrois, y traducido por D. Ramón Fernandez, profesor de cirugía* Se hallará en la librería de Castillo, frente á S. Felipe el Real. Estampa que representa los retratos de los Serraos. Sres. Infantes de España Don Cárlos María Isidro de Borbon y Dona María Francisca de Asís de Braganza, pin tada y dibu…</t>
  </si>
  <si>
    <t>…l; debiendo verificarse en i.° del próximo Noviembre. Principios de cirugía en general, asi en la práctica como en la teórica, segim el estado en que se halla hoy , compuestos por D. Ramón Fernandez para el exa men de los que se dedican al estudio de esta ciencia y desean aprovecharse en ella, la buena acogida que han tenido del público estos principios lo manifiesta el ser esta la tercera edición: un tomo en 8.° Se hallará en las librerías de Barco, car…</t>
  </si>
  <si>
    <t>Fernando</t>
  </si>
  <si>
    <t>…re su paradero lo avisará al padre cura de Santiago de Gibraleon, en el condado de Niebla. Historia razonada de la gloriosa revolución de España hasta su conclusión, j entrada del Sr. D. Fernando vri en Madrid en 13 de Mayo de 1814. zz:Napoleón, © el verdadero D. Quijote de la Europa, zz La Inquisición justamente restablecida, ó impugnación de los anales de D. Juan Antonio Llórente, y del manifiesto de las cortes de Cádiz. Véndese en las librerías de…</t>
  </si>
  <si>
    <t>…los confesores, padres é hijos de familia. Se vende en los mismos parages que las pláticas vascongadas, á 6 rs. en pergamino y 5 á la rústica. Memorias para la vida del Santo Rey D. Fernando, por D.Miguel de Manuel y Rodríguez, enriquecidas con multitud de documentos originales que las hacen dig nas de la atención de los sabios: un tomo en folio á 40 rs., con el retrato del Santo, copiado del cuadro original que existe en la3 monjas de S. Clement…</t>
  </si>
  <si>
    <t>…ta una verdad pública y notoria , y ceder en honor muy debido á la lealtad constante , siempre fiel y generosa de este vecindario, á quien representamos, hacia nuestro Soberano el Sr. D. Fernando vii, que Dios guarde, desde su exaltación al trono, por quien ha dirigido y dirige al cielo sin intermisión sus plegarias, ya públicas y solemnes, ya privadas ; dimos la presente, y la firmamos de nuestra letra y puño en dicho dia , mes y año con testigos de…</t>
  </si>
  <si>
    <t>…or el contrarióse han asombrado todos en general del des caro y atrevimiento con que han atentado los tales cabecillas contra la so beranía de nuestro augusto y deseado Monarca el Sr. D. Fernando, vii , ne gándole la obediencia, y atacando con el mayor escándalo la práctica y de rechos de la iglesia, desparramando papeles sediciosos y creando constitu ción ridicula c inicua para el Gobierno de que ellos se suponen autorizados contra la buena opinión d…</t>
  </si>
  <si>
    <t>…a orden de S. Agustín: un tomo en 4.0 Se hallará en pasta á 20 rs. en la librería de Bar co , carrera de S. Gerónimo, y en Valencia en la de los Sres. Domingo y Mompie. Elogio del Sr. D. Fernando vn, el amado, Rey de España y de sus Indias, por D. Josef María del Rio, oficial de la secretaría de Estado, y del despacho de Ha cienda de Indias. Se hallará en la librería de Dávila, calle de las Carretas, y en Se villa en la de las herederas de Padrino. Es…</t>
  </si>
  <si>
    <t>…o de S. M., alcalde del Crimen de la Real chancillería de Valladolid, y comisionado por S. M. en esta ciudad, y se concluyó con muchos brindis á la salud de nuestro amado Soberano Don Fernando vii , del Sermo. Sr. Infante D. Cárlos, de los Sres. de la Real junta, del Sr. subdelegado, y de todo el vecindario que los había honrado. Salieron por la tarde todos juntos de paseo, y se repitieron los vivás y acla maciones. A las siete de la tarde, después…</t>
  </si>
  <si>
    <t>…s, añadido con 150 preguntas con sus correspondientes respues tas por el Dr. D. Juan Antonio de la Riva, canónigo de la santa iglesia de Car tagena, quien le dedica al Rey nuestro Señor D. Fernando vir. Se hallará en la librería de Escribano, calle de las Carretas.—Las diputaciones y maestros de pri meras letras que quisieren surtirse por docenas acudirán en casa del editor, calle del Baño, núm. 9 , cuarto principal. Via crucis explanado é ilustrado con…</t>
  </si>
  <si>
    <t>…la pronta conclusión de estas obras, que tanto interesan á la salud pública. ESPAÑA. Madrid 18 de Abril. ARTICULO DE OFICIO. Real Cédula de S. M. y Sres. del Consejo de Hacienda. Don Fernando vii, por la gracia de Dios Rey de Castilla, de León,</t>
  </si>
  <si>
    <t>…hacerlo con mas comodidad. Restablecida en Nápoles en 1804 la religión de la Compañía de Jesús, fue á fines del mismo para entrar de nuevo en ella; y apenas sabe su llegada el Rey D. Fernando iv le llama y confiere el hon roso cargo de individuo de la suprema junta de Revisura regia, promovién dole después al de bibliotecario suyo, en que actualmente permanecía, co mo también en el de secretario perpetuo de la Real academia de Antigüeda des. Y has…</t>
  </si>
  <si>
    <t>…ción: á este fin los invita la sociedad con los premios que han de distribuirse en la tarde del dia 30 de Mayo de este año en obsequio del augusto dia de nuestro amado Soberano el Sr. D. Fernando vii: el público recibirá esta oferta de la sociedad como un desahogo de su beneficencia y de su amor al Rey, y disimulará que no extienda los premios con la generosi dad que quisiera y merece el digno Soberano á quien los consagra: ¡ojalá pueda en otro año ll…</t>
  </si>
  <si>
    <t>…públicas, con triple salva de artillería, implorando al mismo tiempo la protección Divina para el logro del importante objeto de la pacificación de estos dominios del Rey nuestro Señor D. Fernando vii y conservación de su preciosa vida, la de la Reina nuestra Señora y de toda la Real familia; á cuyo fin pasó el Excmo. Sr. virey oficio al limo. Sr. arzobispo, que con la contestación de este respetable prelado se inserta á la letra. Oficio del Excmo. Sr.…</t>
  </si>
  <si>
    <t>…ba marcado por el que tardarían en secarse los Llanos. Mucho fue preciso hacer para llenar una pequeña parte de los deseos del Rey mas querido de los Reyes, de nuestro Soberano el Sr. D. Fernando vii, que tiene fijada la vista en sus desgraciados y amados pueblos de América. Podéis estar bien se guros de que la noticia mas grata para S. M. es la de que los gefes se ocupan de vuestra felicidad, la que es siempre el resultado de la industria y agricul t…</t>
  </si>
  <si>
    <t>…raído el sar gento de Sierragorda Vicente Monroy se tenga presente en su cuerpo para los ascensos. Madrid 4 de Junio. ARTICULO DE OFICIO. Real cédula de S. M. y Sres, del Consejo. D. Fernando vii , por la gracia de Dios Rey de Castilla , de León, de Aragón &amp;c. &amp;c. &amp;c. A los del mi Consejo, presidentes, regentes y oidores de mis audiencias y chancillerías &amp;c. &amp;c., sabed: Que la Dirección del Crédito público me hizo presente que por la junta central…</t>
  </si>
  <si>
    <t>…ESPAÑA. "Ronda zo de Mayo. El Real cuerpo de maestranza caballería de Ronda, en observancia de su instituto, y en celebridad del plausible dia de nuestro augusto Soberano y Se ñor D. Fernando vii , en la tarde del 30 del corriente se formó á caballo en las casas del teniente de S. A. R. D. Cristóbal de Aviles y Castro con la música marcial, e introducido en un coche de gala el Real retrato de S. M., escoltado por la compañía de granaderos de su re…</t>
  </si>
  <si>
    <t>…ión en que se hallaba toda la juventud, y animado del zelo de su corregidor y presidente D. Luis Antonio del Campo, acordó celebrar los dias de S. M. y nuestro augusto Soberano el Sr. D. Fernando vi i con certámenes públicos en los rudimentos de leer , escribir , aritmética y gra mática latina. Habiéndose reunido al efecto en las casas consistoriales con asistencia del clero, nobleza y un numeroso concurso de toda la villa y pue blos inmediatos, se di…</t>
  </si>
  <si>
    <t>…. M., que Dios guarde, se ha dignado poner á mi cuidado: llegó efec tivamente el momento en que la multitud de hechos memorables que ilustran el reinado de nuestro amadísimo Rey y Sr. D. Fernando vii en estos sus dominios, me dan ocasión para que cumpliendo con sus Reales intenciones trate definitivamente de concluir la importante obra de su pacificación, tan interesante á nuestra santa religión, tan necesaria para la prosperidad de</t>
  </si>
  <si>
    <t>…te vireinato, os recibiré con el mayor gusto, y os perdonare vuestros desaciertos; venid y aprovechaos del indulto que os concedo en esta fecha á nombre de este piadoso Monarca el Sr. D. Fernando vii , que Dios guarde, nuestro Rey y Señor: nada os detenga, romped esos grillos de las pasiones que os aprisionan y tienen su mergidos tal vez en la desesperación; deshacedlos del vano temor que os im pide aproximaros, y sereis tratados con la benevolencia d…</t>
  </si>
  <si>
    <t>…a jo de Enero próximo pasado por el Exento. Señor virey D. Juan Ruiz de Apodaca. En manifiesto exhortatorio que he mandado circular en esta fecha forma do de orden del Rey nuestro Señor D. Fernando vii_, que Dios guarde, están explicadas con bastante claridad, aunque sucintamente, las piadosas in tenciones de S. M., el amor con que trata á sus pueblos, y sus soberanos de seos de que terminen las calamidades de estos dominios. No menos claramente patenti…</t>
  </si>
  <si>
    <t>…mino de 6o dias, contados desde la publicación de esta gracia, en las capitales y partidos subalternos para ratificar el juramento de lealtad y vasallage á nuestro muy amado Rey y Sr. D. Fernando vii, que Dios guarde. 2.0 No se exigirá á los que asi se acogieren al indulto otra condición que la de entregar, como lo harán, sus armas y municiones á los oficiales del Rey, dejándoles á los que tuvieren sus caballos ó muías para que puedan emplearlas libre…</t>
  </si>
  <si>
    <t>…dustria, y á los socios que se ocupan en fomentarla. La compañía venderá esta y otras máquinas construidas en su obrador de los Arcos á los que quieran compradas. Decretos del Rey D. Fernando vit, ó colección de Reales resoluciones expe didas por los diversos Ministerios y Consejos en todo el año de 1816: tomo g.°, dispuesto en virtud de orden de S. M. por D. Fermin Martin de Baimaseda. Al pa so que el editor de esta obra en su tomo 2.0 dió á cono…</t>
  </si>
  <si>
    <t>…n Roseta, donde se ha propagado rápidamente, hallándo se atacadas de su contagio algunas embarcaciones surtas en ios dos últimos puertos. Real cédula de S. M. y Sres. del Consejo. D. Fernando yii , por la gracia de Dios Rey de Castilla ,de León, de Aragón &amp;c. &amp;c. &amp;c. A los del mi Consejo, presidentes, regentes &amp;c. &amp;c\, sa bed : Que los robos y violencias que se cometían en diferentes partes del rei no, á pesar de las providencias dictadas después…</t>
  </si>
  <si>
    <t>…s memoriales con las relaciones de méritos en el término de 30 dias, contados desde este anuncio. Los inesperados acontecimientos ocurridos en el desempeño del retrato de S. M. él Sr. D. Fernando vii , dado á grabar por D. Juan Bauzil, pintor de cámara de S. M., han retrasado cerca de un año en dar al público una obra que debía beberse dado en cuatro meses mas ó menos, según la intención del editor, cosa que espera no volverá á suceder: en este supues…</t>
  </si>
  <si>
    <t>…u is de Mata Araujo, catedrático de latinidad, retórica y poética de la Real casa de pages de S. M., é individuo y secretario de la academia latina, quien la dedica al Rey nuestro Señor D. Fernando vii: un tomo en 8.° de buen papel y letra i 8 rs. en pasta. Se hallará en la librería de Bailo, calle de las Carretas. Poesías del Mtro. Fr. Diego González, del orden de S. Agustín: nueva edición correcta, adornada con una lámina fina del retrato del autor: u…</t>
  </si>
  <si>
    <t>…; y que la Serma. Sra. Infanta se crie con robustez , como que á este suceso dichoso se sigan otros que aseguren mas y mas la augusta descen dencia de VV. MM. y de su Sto. Abuelo D. Fernando m , cuyo venerable cuerpo tiene la dicha Sevilla de conservar en su seno.” En el sorteo de la Real lotería moderna celebrado el dia 13 del corriente salieron sorteados con los premios mayores los números siguientes: Ntímeros. Premios. Administraciones. 20132.…</t>
  </si>
  <si>
    <t>…amas de los filósofos modernos para con seguirla : un tomo en 8.°“B.elacion circunstanciada de los trabajas, prisión y muer te de Luís xvr, Rey de Francia, dedicada al Rey nuestro Señor D. Fernando vii: un tomo en 8.°~Historia de la nueva Antígona, dedicada á la Reina nuestra Se ñora Doña María Isabel de Braganza: un tomo en 8.°rz Historia de Ja persecu ción de la Iglesia por Napoleón Bonaparte desde el año de 1796 hasta el de 1815 inclusive, con notas…</t>
  </si>
  <si>
    <t>…is, y menos solicitar gracias para alivio de las perdidas inmensas que ha sufrido, pues conceptúa bien remunerados sus infinitos trabajos y atrasos con poseer á su Rey legítimo el Sr. D. Fernando vii. ,,No obstante es indispensable insinuar á V. M. que Aranda y su tierra merecen un distinguido lugar entre los pueblos españoles que han amado y aman íntimamente á V. M. Pava prueba baste decir que el mismo Napoleón con roo© infantes y 26© caballos, y un…</t>
  </si>
  <si>
    <t>…ra de manifestar á S. M. por medio del ca pitán de la guardia de su Real Persona el Excmo. Sr. duque de Alagon. Madrid 1$ de Octubn. Ayer, día del feliz cumpleaños del Rey nuestro Señor D. Fernando vir, «e vistió la corte de gala con uniforme, y hubo besamanos, al que asistieron ios grandes, los diputados de los reinos, ministros,embajadores extrangeros, los tribunales, prelados , los generales y oficiales de las egércitos de mar y tierra, que tuvieron…</t>
  </si>
  <si>
    <t>…cuence, las cua les en seguida se enrollaron, y se metieron en unos tubos cilindricos de cris tal con una guia de forasteros del presente año, y diferentes monedas dei reinado del Sr. D. Fernando vii. Se cerraron bien los frascos, y se sellaron en lacre con las armas de la ciudad. De las inscripciones latinas la una decía asi: „ Auspice Deo forum novum á fundamentis in medio urbis Sanc«ti Sebastiani iterum post ejns ruinam construí coeptum est anno sa…</t>
  </si>
  <si>
    <t>…abiendo nombrado por protector de ella á sq augusto Hermano el Sermo. Sr. Infante D. Cárlos« Madrid 2 6 de Diciembre. ARTICULO DE OFICIO. Real cédula de S. M. y Sres. del Consejo. Don Fernando vii, por la gracia de Dios Rey de Castilla., de León, de Aragón &amp;c. &amp;c. &amp;c. A los del mi Consejo, Presidentes, Regentes &amp;c., sabed: Qae por D. Josef Antonio Sagarriga, juez eclesiástico de Competen cias de jurisdicción del mi principado de Cataluña , se hizo…</t>
  </si>
  <si>
    <t>Ferrand</t>
  </si>
  <si>
    <t>1029</t>
  </si>
  <si>
    <t>…ser revistados en presencia del augusto viagero. Anteayer se reunieron por segunda vez los secretarios de Estado, el car denal de la Luzenne, el canciller, el conde de Beugnot, el conde Ferrand, el conde Portalis y Camilo Jordán, consejeros de Estado, en casa del conde de Richelieu. Aun no se sabe á punto fijo el motivo de estas juntas. El Príncipe de Talleirand lleg ó el 27 del pasado á Tolosa de las aguas de Bañeras con la condesa de Perigord y la…</t>
  </si>
  <si>
    <t>Ferrando</t>
  </si>
  <si>
    <t>…= Juan Zamorátegui. = Sr. capitán D. Justo de Huidobro.” Lima 11 de Junio. Habiéndose anunciado en los papeles públicos de la península el feliz enlace de nuestro amado Monarca el Sr. D. Ferrando vii con la Serma. Se ñora Infanta de Portugal Doña María Isabel, dispuso el Excmo.Sr. virey que esta fidelísima capital tributase á su nueva Soberana, en el dia de su cum pleaños los honores debidos á su augusta clase, y á las esperanzas que nos da de contrib…</t>
  </si>
  <si>
    <t>Ferraz, Francisco</t>
  </si>
  <si>
    <t>Francisco Ferraz</t>
  </si>
  <si>
    <t>…V. E. En consecuencia de esta soberana resolución se ha servido S. M. nombrar para subinspector de Andalucía al mariscal de campo D. Joaquín de Zea; para Aragón ai de igual clase D. Francisco Ferraz, y para Castilla la Vieja al brigadier D. Joset' Marrón.” Lo que de Real orden traslado á V. para su inteligencia y cumplimien to en la parte que le toca. Dios guarde á V. muchos años. Madrid 21 de Abril de 1817. Circulares del Consejo Real. 1 ,a El Excmo. Sr…</t>
  </si>
  <si>
    <t>Ferrer, Antonio Rodríguez</t>
  </si>
  <si>
    <t>Antonio Rodríguez Ferrer</t>
  </si>
  <si>
    <t>…por el catedrático; siendo los premiados en retórica y poé tica D. Josef Luciano Caballero, natural de las montañas de Santander, Don Cristóbal Rodríguez deHinojbsa, de Lebrija, y D. Antonio Rodríguez Ferrer, de Moron : en sintaxis, prosodia y arte métrica D. Benito de Salas y Vida! y D. Luis García Monge, ambos de Lebrija: en rudimentos D. Juan Fayula, D. Pedro Garfia, D. Pablo Pavón, D. Juan de Quintaniila, D. Francisco Xavier Morales, D. Rafael Muñoz, todos de…</t>
  </si>
  <si>
    <t>Ferrer, Jaime</t>
  </si>
  <si>
    <t>Jaime Ferrer</t>
  </si>
  <si>
    <t>…ría de la villa de Besalú, obispado de Gerona, D. Tadeo Ferrer, capitán de navio de la Real armada, y caballero de las Reales órdenes militares de S. Fernando y S. Hermenegildo, y D. Jaime Ferrer, abogado del ilustre co]egio de esta corte, asesor de la sacra asamblea de la orden de S. Juan de Jerusalen, capítulos provinciales y real cámara prioral, de la dirección general de Reales provisiones y maestrazgos, abogado asesor de las encomiendas de Jos Sc…</t>
  </si>
  <si>
    <t>Ferrer, Tadeo</t>
  </si>
  <si>
    <t>Tadeo Ferrer</t>
  </si>
  <si>
    <t>…oviembre último tuvieron el honor de besar la Real ma no de S. M., á nombre del prior y canónigos de la iglesia colegiata de Santa María de la villa de Besalú, obispado de Gerona, D. Tadeo Ferrer, capitán de navio de la Real armada, y caballero de las Reales órdenes militares de S. Fernando y S. Hermenegildo, y D. Jaime Ferrer, abogado del ilustre co]egio de esta corte, asesor de la sacra asamblea de la orden de S. Juan de Jerusalen, capítulos provinc…</t>
  </si>
  <si>
    <t>Ferrer, Tomas Soler y</t>
  </si>
  <si>
    <t>Tomas Soler y Ferrer</t>
  </si>
  <si>
    <t>…marasa y otros, con los señores el brigadier D. Josef Sta. Cruz, coronel del Real cuerpo de ingenieros, ins pector general de la obra nombrado por S. M., y el director facultativo Don Tomas Soler y Ferrer, avisan con fecha de 28 de este mes desde la Cuadra de Flix, que en el mismo dia se empezó el trabajo del canal subalterno en las inmediaciones de dicha Cuadra de Flix á la parte izquierda del rio Sió con universal aplauso de todo aquel pais, y en medio de la…</t>
  </si>
  <si>
    <t>Ferrer, Vicente</t>
  </si>
  <si>
    <t>Vicente Ferrer</t>
  </si>
  <si>
    <t>…drid $ de Enero. El dia 8 del pasado tuvieron el honor de besar la mano á S. M., y feli citarle en nombre del ayuntamiento de Mahon , capital de la isla de Menor ca, el presbítero D. Vicente Ferrer y D. Rafael Mercada!, individuo del misino ayuntamiento; y el primero dijo entre otras cosas lo siguiente: ,, Señor: Organo fiel de los afectuosos sentimientos que animan á vues tros humildes vasallos los habitantes de la ciudad de Mahon, capital de la isla de Menorca, llego hoy…</t>
  </si>
  <si>
    <t>Ferussac, Daudebard de</t>
  </si>
  <si>
    <t>Daudebard de Ferussac</t>
  </si>
  <si>
    <t>1328</t>
  </si>
  <si>
    <t>…la cancha pudiese servir para determinar y clasificar las especies que existen en el dia, y las que habiendo desaparecido ya, solo se encuentran petrificadas. Pero por fortuna ei barón Daudebard de Ferussac, oficial de estado mayor, que en medio de las fatigas de la guerra no se olvidó de recoger materiales sobre este interesante objeto, acaba de anunciar al público el prospecto de una obra que nada dejará que desear sobre esta materia; porque en ella, ademas de…</t>
  </si>
  <si>
    <t>Feush</t>
  </si>
  <si>
    <t>…rsonas distinguidas se han valido de la presente coyuntura para venir á Francia por mar; entre los cuales se cuentan el conde de Maistre, embajador del Rey de Cerdeña en Rusia, el general Feush, la condesa de Razoumowski, la muger y la familia del gene ral barón Jomini, Mr. Bourgeos, cónsul francés en Petersburgo &amp;c. Parts 4 de Julio. Un periódico de esta capital dice que han sido arrestados los generales Domage y Belair, y también la marquesa de La…</t>
  </si>
  <si>
    <t>Figueroa, Genaro</t>
  </si>
  <si>
    <t>Genaro Figueroa</t>
  </si>
  <si>
    <t>…cia de dicho pueblo dentro del término de 15 dias, remitiendo sus memoriales por Iüescas. El arte de la guerra, poema escrito por Federico ir Rey de Prusia, traducido en verso por D. Genaro Figueroa; impreso en 1793. Véndese á 4 rs. en papel en el almacén de la imprenta Real. Misal romano, traducido del idioma latino al castellano, distribuido en cuatro tomitos manuables, á 8 rs. cada uno en papel. Se vende separado el cuarto tomo que contiene las misas…</t>
  </si>
  <si>
    <t>Figueroa, Josef</t>
  </si>
  <si>
    <t>Josef Figueroa</t>
  </si>
  <si>
    <t>…s pués de una obstinadísima resistencia. Recomiendo á V. E. para que lo haga á S. M. el mérito que en ambas operaciones contrajeron Guerrero y Diaz, así como el alférez de fragata D. Josef Figueroa, que fue mandando la lancha de esta corbeta , y abordó y tomó el primero á una de las flecheras, que tenia como iqo hombres , con solo 40 que él llevaba, y á pesar de un vivo fuego que desde unas matas de la costa en que baró la flechera, le hacia una com pañ…</t>
  </si>
  <si>
    <t>Figueroa, Josef Vázquez</t>
  </si>
  <si>
    <t>Josef Vázquez Figueroa</t>
  </si>
  <si>
    <t>…otros en que Yo ponga la mia, en los cuales pondréis la vuestra entera como hasta ahora lo habéis hecho. Ru bricado de la Real mano de S. M. en Palacio á 30 de Enero de 1817. = A D. Josef Vázquez Figueroa.” Circular expedida por el Supremo Consejo de la Guerra. Habiendo hecho presente al Rey nuestro Señor el Consejo Supremo de la Guerra que no cesan de venir para su despacho una multitud de expedien tes pertenecientes á las familias pobres de los Soldados c in…</t>
  </si>
  <si>
    <t>…obre este punto. Tendreido entendido, y lo comunicareis á quienes corresponda para su cumplimiento. = Rubricado de la Real mano de S.M.= Dado en Palacio á 20 de Febrero de 1817.=A D. Josef Vázquez Figueroa.” El Rey nuestro Señor, con fecha de 28 del mes próximo pasado, se ha servido dirigir al Sr. Presidente del Consejo el Real decreto siguiente: ,jEn consideración á la solicitud que me ha hecho el ayuntamiento de la muy noble, muy leal y muy heroica ciudad de…</t>
  </si>
  <si>
    <t>Filisola, Vicente</t>
  </si>
  <si>
    <t>Vicente Filisola</t>
  </si>
  <si>
    <t>…4 del corriente me ha dirigido el te niente coronel graduado D. Marcos Rodríguez, comandante de Maravatio, el adjunto parte del capitán del regimiento de infantería fijo de México Don Vicente Filisola, que elevo á las superiores manos de V. E. para su debido conocimiento, recomendando á los individuos que expresa. ,, Dios guarde á V. E. muchos años. Ixtlahuaca Marzo 14 de 1817.= Excmo. Sr. = Matías Martin y Aguirre.=Excmo. Sr. virey D. Juan Ruiz de Apodaca…</t>
  </si>
  <si>
    <t>Fíol, Pablo Tous y</t>
  </si>
  <si>
    <t>Pablo Tous y Fíol</t>
  </si>
  <si>
    <t>…Segovia D. Isidro Baeza y Santillana, D. Pedro Lujan y Romero, D. Francisco Lujan y Romero, D. Cayetano Urbina y Daoiz, D. Josef Fuentes y Elias , D. Francisco Zacagnini y Monzon, D. Pablo Tous y Fíol, D. Miguel Jorganes y Mario, D. Antonio Venene y Andrade, D. Julián Gata y Malpica, D. Mariano Canals y May oís, D. Juan Molins y Cabañiés, D. Juan de Dios Valera y Viaña, D. Josef Zizur y Azanza, D. Tomas Mones y Puertas, D. Miguel Zizur y Azanza, D. Joaquín…</t>
  </si>
  <si>
    <t>Fion, Antonio</t>
  </si>
  <si>
    <t>Antonio Fion</t>
  </si>
  <si>
    <t>…á lo profundo de una barranca, y asimismo á la tropa que he tenido el honor de mandar. ,,Dios guarde á vmd. muchos años. Olomatlan Marzo 5 de 1817. = Gaspar García. = Sr. teniente coronel D. Antonio Fion.” Sevilla 22 de Noviembre. Se ha concluido felizmente la obra proyectada para cegar la boca del norte del brazo del Rosario en la isla de Arnaldo, en el rio Guadalquivir. La longitud del malecón que se ha hecho, inclusa la parte que se ha agregado para reforz…</t>
  </si>
  <si>
    <t>Fiscal</t>
  </si>
  <si>
    <t>…de los caminos, mesones, «ventorrillos y parages sospechosos, procediendo á la prisión de las gentes «que lo sean, formándoles causas, y dando luego cuenta á la Sala por mano «del Sr. Fiscal; en inteligencia de qüe de cualquiera omisión ó disimulo que «se notare en su término se hace á V. responsable, y se tomará la provi«dencia que corresponda.” . Lo que de orden de la Sala participo á V. para su inteligencia y cum plimiento ; y dei recibo dará…</t>
  </si>
  <si>
    <t>Fisk</t>
  </si>
  <si>
    <t>…de la América meridional, bajo el mando del capitán Chaitor, con pabellón de Buenos-Aires. Cabiendo poca duda en que hayan recibido las mismas instrucciones que las comunicadas al capitán Fisk, es de temer que comerán hostilidades contra los buques portugueses. Ademas de los informes particulares que he adquirido, y con cuya realidad puedo contar, el solo hecho de haber enarbolado tal pabellón equivale á una prueba manifiesta en el estado actual de…</t>
  </si>
  <si>
    <t>Fitzwilliams</t>
  </si>
  <si>
    <t>…n aquellos lagos y se hallaban medio armados han sido des armados completamente, y apenas queda mas que el número de hombres ne cesario para cuidar de que no se echen á perder. El conde Fitzwilliams, que en diversas ocasiones ha socorrido con can tidades considerables á los arrendatarios de sus tierras en Irlanda, acaba de enviar á su administrador un barco cargado de harina de América que com pró en Liverpool, y cuyo valor ascendía á 288® rs. para que l…</t>
  </si>
  <si>
    <t>FitzwiUiam</t>
  </si>
  <si>
    <t>508 ^ ^ , mera distinción, y entre ellos sir Francis Burdett, lord FitzwiUiam y lord Kinnaird. Se dice que el marques de Hunlly será nombrado gobernador del cabo de Buena-Esperanza, y que lord Cárlos Somerset irá á la India. Se asegura que la Princesa Carlota está en un estado que debe causar mu cho regocijo á la nación entera. Idem 2…</t>
  </si>
  <si>
    <t>Fleuri</t>
  </si>
  <si>
    <t>te á cuantas preguntas se les hicieron de doctrina cristiana,ya por el catecis mo de este obispado, ya por el compendio del abad Fleuri, como de la ur banidad y cortesía , dándoles una perfecta inteligencia: últimamente hicieron Ja descripción geográfica de la Europa, de los confines de sus diferentes rei nos y estados, de sus capitales, climas, montes, ríos, asi como mas indivi dualmente de…</t>
  </si>
  <si>
    <t>Floren</t>
  </si>
  <si>
    <t>sensatos. Hubo no obstante algunos que sobresalieron. En la clase de gramá tica latit a merecieron el pnmer premio en la clase de mayores D. Floren tino de T&lt; rre : en la de medianos D. Hilarión Barrenengoa el segundo, y en la de mi ñores D. Manuel Ordazgasti el tercero: en la de álgebra D. Juan Fuertes el primero, y D. Henrique Salazar el segundo: en la de aritmética el tercero D. Manuel Velasco : en la…</t>
  </si>
  <si>
    <t>Flores</t>
  </si>
  <si>
    <t>…una hermana doncella en el mayor estado de pobreza, única desgracia, aunque muy sensible, que tuve en todo el ataque ; pero luego que eílos vieron muertos seis de los suyos, á su comandante Flores mal herido, y lo mismo á su capitán Ruiz, se mudaron con la violencia y desorden que acostumbran, dejando dos carabinas regulares, un par de pistolas, un trabu co y una cartuchera, dos caballos ensillados y dos muertos, con otras frio leras que repartí á los…</t>
  </si>
  <si>
    <t>Flores, Felipe Rojo de</t>
  </si>
  <si>
    <t>Felipe Rojo de Flores</t>
  </si>
  <si>
    <t>…Se vende en la librería de Ro dríguez, calle de las Carretas, á 4 rs. á la rústica y 7 en pasta. Tratado de recreación instructiva sobre la danza, su invención y diferencias; por D. Felipe Rojo de Flores, impreso en 1793 &gt; á 4 rs. en papel.— Invectiva contra el lujo, por dicho Rojo, impreso en 1794, á 4 rs. en papel.zzElocuencia forense, por el mismo, impreso en 1793, á 5 rs. en papel. Véndense en el almacén de la imprenta Real. EN LA IMPRENTA REAL.</t>
  </si>
  <si>
    <t>Flores, Josef</t>
  </si>
  <si>
    <t>Josef Flores</t>
  </si>
  <si>
    <t>…anticipado que se me dio de que la canalla estaba disponiendo venirme á atacar á este trapiche, presentándose al intento corno 100 hombres de caballería , al man do de su nombrado comandante Josef Flores, y de los capitanes Pedro Asensio y Felipe Ruiz. Con la advertencia referida dispuse que de los 20 hombres que vmd. me proporcionó tomase el cabo de realistas D. Pedro Nuñez con ocho hombres la bóveda de la iglesia de este pueblo inmediato á dicho trapiche, y…</t>
  </si>
  <si>
    <t>Flores, Ramón Josef Longoria</t>
  </si>
  <si>
    <t>Ramón Josef Longoria Flores</t>
  </si>
  <si>
    <t>…s de la misma D. Luis López de Castro, se cita , lla ma y emplaza á todos los parientes y demas personas que se encuentren con derecho á los bienes quedados por la fin y muerte de D. Ramón Josef Longoria Flores, ca dete que fue de guardias de la Real Persona, lo acrediten en el término de 30 dias,</t>
  </si>
  <si>
    <t>1404</t>
  </si>
  <si>
    <t>…de Castro, se cita, llama y emplaza por término, y último perentorio de 20 dias, á todos los parientes ó herederos que se crean con derecho á los bienes queda dos por la muerte de D. Ramón Josef Longoria Flores, cadete que fue de Guardias de la Real Persona, para que por sí ó por medio de procurador con poder bastan te lo acrediten en la audiencia de dicho señor y referida escribanía; y no lo ha ciendo les parará el perjuicio que haya lugar. El segundo trimestre de…</t>
  </si>
  <si>
    <t>Fo, Fausto de</t>
  </si>
  <si>
    <t>Fausto de Fo</t>
  </si>
  <si>
    <t>…Rochelie, abo 1.a 16 de Julio..., del Campo y Don gado en Paris........ 1.686,488 fs.. 62.es.. Antonio de Üriarte, del comercio de Cá diz.. 2.a 6 de Agosto..., El ayuntamiento de D. Fausto de Fo la ciudad de Pam- ronda , residente et&amp;¡ piona. Paris.................. 163,606.. 74;. 3-* Idem.. D. Luis Díaz Hoyue Ninguno........... 727- ^ los , del comercio de Burgos. 4-a Idem.. D. Manuel Sanz Cal D. Manuel Robre vo, del comercio de, do, en Madrid......…</t>
  </si>
  <si>
    <t>Folkestone</t>
  </si>
  <si>
    <t>…ción de la ley, sabiendo que cada dia se recibían noticias de nuevas tur bulencias excitadas en varios distritos, y de proyectos sediciosos que seguían formándose. La propuesta de lord Folkestone fue desechada, y se aprobó el dicta men de Mr. Canning por una gran mayoría. Las últimas cartas de Nottingham dicen que reina alli el mayor sosiego* y que han sido presos varios sugetos. La milicia urbana de Leicester ha sida convocada, y están ya en mar cha…</t>
  </si>
  <si>
    <t>Fominaya, Vicente Carrasco y</t>
  </si>
  <si>
    <t>Vicente Carrasco y Fominaya</t>
  </si>
  <si>
    <t>…3* D* Josef de Trasvina, D. Gregorio Sánchez, viuda de ísern é hijo, D. Pedro de Castro, Sres. Lavin y hermano, D. Manuel Ramón de Viilachica, D. Manuel Francisco Aguirre é hijos, D. Vicente Carrasco y Fominaya, Doña Clara Ambite, Juan Antonio Morera, D. Josef Sala y Cam, D. Ig nacio de Arellana, D. Francisco Bolart y Goma, D. Josef Bruquera y Castell, Don Francisco Argel é hijos, y D. Lorenzo Carballo de Ledesma, para que en el preciso y perentorio término de 30 di…</t>
  </si>
  <si>
    <t>Font, Mariano</t>
  </si>
  <si>
    <t>Mariano Font</t>
  </si>
  <si>
    <t>…Mayo de 1817. Con fecha 17 de Setiembre de 1816 ha comunicado el capitán de Navio D. Josef de Salas al señor secretario de Estado y del Despacho universal de Marina lo que sigue: „D. Mariano Font, capitán y piloto de la goleta mercante la Mariana, que salid de Málaga el 29 de Enero de dicho año con destino á la Guayana, en la madrugada del 11 al 12 de Marzo, hallándose en la latitud N. de 15o 13' y longitud de 41° 22' al O. de Cádiz, noto haber tocado…</t>
  </si>
  <si>
    <t>Fonte, Pedro de</t>
  </si>
  <si>
    <t>Pedro de Fonte</t>
  </si>
  <si>
    <t>…do ai indulto hasta la fecha 2099 individuos, á quienes se ha concedido. Por todo lo cual ha tenido á bien el Excmo. Sr. virey D. Juan Ruiz de Apodaca, de acuerdo con el limo. Sr. arzobispo D. Pedro de Fonte, se den hoy gracias á Dios con un solemne Te Deam y una salve á su Santísima Madre en esta santa iglesia catedral, con asistencia de S. E. y S. I., y de to dos los cuerpos, tribunales, gefes y oficiales de la guarnición, y demas per sonas públicas, con triple…</t>
  </si>
  <si>
    <t>…á á las io de la mañana de dicho dia. Dios guarde á V. S. I. muchos años. México Diciembre 10 de 1816.= Timo. Sr. = Juan Ruiz de Apodaca. = limo. Sr. arzobispo de esta capital Dr. D. Pedro de Fonte. Contestación del limo. Sr. arzobispo. Excmo. Sr. : Me edifican los piadosos sentimientos que expresa V. E. en su oficio de este dia, relativo á la solemne acción de gracias al Todopoderoso por los acontecimientos felices de haber arribado ya á la península l…</t>
  </si>
  <si>
    <t>Fonte, Pedro Josef de</t>
  </si>
  <si>
    <t>Pedro Josef de Fonte</t>
  </si>
  <si>
    <t>…Pinto. = Excmo. Sr. virey del Perú. D. Joaquín de laPezueia.” El Rey se ha servida nombrar para la canongía doctoral de la metropo litana de México, vacante por promoción del Dr. D. Pedro Josef de Fonte á la mitra de dicha santa iglesia &gt; al Dr. D. Josef Félix Flores Alatorre ; y para la magistral de la catedral de la Puebla de los Angeles, vacante por pro moción á la mitra de ella del Dr. D. Antonio Joaquín Pérez, al Dr. D. Ma nuel Perez y Suarez. Habiendo…</t>
  </si>
  <si>
    <t>Forest</t>
  </si>
  <si>
    <t>Núm. 43. [ 5 cuartos.] 377 GACETA DE MADRID DEL JUEVES 10 DE ABRIL DE 1817. ......... — ' ■MBwwwaiMWiawa«w»ri^,DiiiinTí'' AFRICA. Tt'tnez 20 de Enero. El capitán Forest, de la fragata de guerra inglesa la Astrea&gt; ha notifica do á este bajá ., en nombre del Príncipe Regente, que en adelante podrá ha cer la guerra á quien le parezca, con tal que observe ei artículo relativo á la abolición de la esclavitud. Deseoso el Gobierno…</t>
  </si>
  <si>
    <t>Forjaz, Miguel Pereira</t>
  </si>
  <si>
    <t>Miguel Pereira Forjaz</t>
  </si>
  <si>
    <t>…s las Ru sias , la cual es del tenor siguiente: „Ei infrascrito cónsul general de S. M. el Emperador de todas las Rusias tiene la honra de elevar al conocimiento de S. E. el señor general D. Miguel Pereira Forjaz, secretario de Estado de los Negocios extrangeros, Guerra y Marina , una comunicación ministerial que en substancia dice asi: „ Según los antiguos reglamentos establecidos en el gran ducado de Fin landia, solamente se permite á los buques extrangeros introduc…</t>
  </si>
  <si>
    <t>224„En consecuencia, pues, el infrascrito se apresura á informar á S. E. el señor general D. Miguel Pereira Forjaz de estas disposiciones , á fin de que poedan igualmente llegar al conocimiento del comercio portugués; y al mis ino tiempo se vale de esta ocasión para reiterar á S. E. las protestas de su alta consideración. = Lisboa 30 de Enero de 1817.sri7. de Borel ,, Y p…</t>
  </si>
  <si>
    <t>Formento, Josef Miguel</t>
  </si>
  <si>
    <t>Josef Miguel Formento</t>
  </si>
  <si>
    <t>…n; D. Juan Miguel de Lostra; D. Antonio Fajar do; D. Tomas Urrutia; D. Josef Xavier de Zuluaga y D. Josef de Veamurguía, individuos de la junta de reemplazos establecida en Cádiz; D. Josef Miguel Formento, coronel de milicias de Fondo; D. Agustín Rodríguez y Fernandez, vecino de Montevideo; al capitán de fragata D. Juan Bautista Topete; D. Antonio Estevez, arcipreste de la colegiata de Medinaceli; Don Vicente Romero, oficial primero de la secretaría del despac…</t>
  </si>
  <si>
    <t>Forner, Juan Pablo</t>
  </si>
  <si>
    <t>Juan Pablo Forner</t>
  </si>
  <si>
    <t>…de Alcañiz: su dotación anual es 4Í) rs. vn. y casa franca. Se admiten memoriales en la secretaría de ayuntamiento de la referi da villa hasta 23 de Junio próximo. Reflexiones de D. Juan Pablo Forner sobre el modo de escribir la historia de España. Se da en ellas una idea del mérito respectivo de nuestros principales histo riadores, de las omisiones y superfluidades en que generalmente incurrieron &amp;c.» un tomo en 8.° Se vende en la librería de Rodríguez,…</t>
  </si>
  <si>
    <t>…s. — La felicidad de la'vida del campo, égloga por D. Francisco Agustín de Cisneros (D. Tomas de Inarte), á rs.__Sátira contra los vicios introducidos en la poesía castellana, por D. Juan Pablo Forner, á i\ rs.—Lección poética, sátira sobre el mismo asunto, por Don Meliton Fernandez, á 2§ rs. —Elogio del Rey D. Alonso el Sabio, por D. Josef de Vargas y Ponce, á 2§ rs. —Elogio de D. Alonso Tostado, obispo de Avila, por D. Josef de Viera y Clavijo, á 2§ rs._…</t>
  </si>
  <si>
    <t>Foronda, Francisco Panizo y</t>
  </si>
  <si>
    <t>Francisco Panizo y Foronda</t>
  </si>
  <si>
    <t>…ue deben prometerse de la unión y fruto de sus vir tuosos Soberanos.” El día 7 del corriente tuvo la honra de presentarse á S. M., á nombre del brigadier D. Juan Manuel Mendiburo, D. Francisco Panizo y Foronda, co misario de guerra honorario , y dijo lo siguiente: „Señor: El brigadier D. Juan Manuel Mendiburu , gobernador de vues tra provincia de Guayaquil ,en el vireinato del Perú ,me ha comisionado para que tenga el honor de poner á L. R. P. de V. M. estas insign…</t>
  </si>
  <si>
    <t>Fowler</t>
  </si>
  <si>
    <t>…queso, y á la comida libra y media de carne, con bastante pan, y un cuartillo de cerveza. Las cartas de Sidney en la Nueva-Gales meridional dicen lo siguiente: ,, Se halla aquí el capitán Fowler y una parte de la tripulación del ber gantín Matilde , que dio la vela de esta colonia en el mes de Agosto de 1813 con destino á la China; y habiendo tocado en la isla de Rouapoah (una de las Marquesas) con objeto de cargar de palo de sándalo, estuvo á pique…</t>
  </si>
  <si>
    <t>…spués de haber resistido por mucho tiempo, aunque en vano, á las instancias de la muchedumbre reunida, recurrió á un medio que hizo al ins tante callar á todos, y salvó la vida al capitán Fowler y á sus marineros. Tomó con un aire resuelto dos cordeles, y anudando el uno al cuello de su hijo, se rodeó el otro al suyo, y llamó á su segundo en el mando, que acudió inmediatamente cerca de su persona. La arenga fue corta y decisiva, pues se redujo á lo s…</t>
  </si>
  <si>
    <t>Fr</t>
  </si>
  <si>
    <t>…tado en general pueden sacar del ganado vacuno, y de los gra vísimos daños, y perjuicios que se siguen de la cria del mular á la del caballar y í la agricultura; su autor el R. P. D. Fr. Manuel Blasco, ex-abad de S. Benito de Bages, un tomo en 4° El título solamente de este libro basta para llamar la atención de todos los labradores, que si escuchan sus razones, y ponen en práctica las instruc ciones que se les dan, prosperará la agricultura…</t>
  </si>
  <si>
    <t>…r á SS. MM. y AA. por su efectuado matrimonio , á nombre de la ilustre comunidad del Real convento de S. Benito, de la Orden militar y caballería de Alcántara, su prior el ilustre Sr. Fr. D. Antonio Arjona y Morales, juez eclesiástico or dinario de dicho priorato y arciprestazgos , subdelegado castrense del mismo, y obispados de Plasencia y Coria, del Consejo de S. M., y el Lie. Fr. Don Fernando María Pantoja, capellán de honor de S. M. por l…</t>
  </si>
  <si>
    <t>…lorente Tertuliano, presbítero de Cartago , con tra los gentiles en defensa de los cristianos, con el libro de la paciencia y exhorta ción de los Mártires: traducidos por el limo. Sr. Fr. D. Pedro Mañero, obispo de Tarazona. El objeto de esta obra, la belleza y elegancia del estilo, y la pureza del lenguage la hacen interesante á toda clase de personas: un tomo en 4.0 á 20 rs. en pasta y 16 en rústica. —El Joven salvage en la sociedad: dos to…</t>
  </si>
  <si>
    <t>…ndese á 12 cuartos en papel en el almacén de 1a imprenta Real.“Crítica de dicho papel á real, id. Relox espiritual para llevar á Dios presente en toda hora, compuesto por el limo. Sr. Fr. D. Josef Antonio de S. Alberto, arzobispo de Charcas, impreso cu 1786. Véndese &amp; 2 rs. en papeJ en el referido almacén. EN LA IMPRENTA REAL.</t>
  </si>
  <si>
    <t>Fra</t>
  </si>
  <si>
    <t>…título de socio de mérito por las obras que había presentado de su arte, y por habérsele distinguido con medallas en los años anteriores. Se dió una de oro, de peso de una onza, á D. Fra ncisco López Vago por haber construido el sello de la sociedad, y á dos aprendices de carpintería y ebanistería se distribuyeron medallas de plata por las obras que presentaron con menos tiempo de enseñanza, cuyo premio fue debido á la piedad del limo. Sr. di…</t>
  </si>
  <si>
    <t>Fraissinet</t>
  </si>
  <si>
    <t>…e la peste hace muchos estragos en la costa de Berbería. La escuadra deS. M. par tió ei 3 de Julio de Gibraltar, se presentó delante de Argel, y después de haber comunicado con el coronel Fraissinet, entró en Puerto Mahon el 12. Ambires 18 de Agosto. Del. 5 al 9 de este mes han pasado por el Sund 220 buques: entre ellos httbia 27 para los Países-Bajos, y 21 cargados de granos. WURTEMBERG. Stuttgardt ij de Agosto. Se ha publicado una Real orden relativa á…</t>
  </si>
  <si>
    <t>Fran</t>
  </si>
  <si>
    <t>…con alguna avería en al aparejo , ignorándo se la pérdida que tendría en la tripulación , consistiendo la suya en tres muertos y cuatro heridos, siendo de los primeros el teniente coronel D. Fran cisco Machado, capitán del sexto escuadrón del Real cuerpo de Artillería , y de los segundos el capiran de granaderos D. Antonio Aspret, ambos pasageros. Posteriormente el director general del expresado cuerpo de Artillería dan do parte al mismo Exemo. Sr. mi…</t>
  </si>
  <si>
    <t>…es igualmente á recomendación por haber desempeñado sus funciones en medio del peligro y con el mayor zelo y es píritu el cirujano del regimiento fijo D. Miguel Añon y el capellán D. Fran cisco Sastre, cura de la Antigua, habiéndoles atacado por la retaguardia con el fin de ver si podían llevarse los heridos. Conforme descanse la tropa y se repare la caballería, que está muy es tropeada, continuaré en persecución de los enemigos hasta desterra…</t>
  </si>
  <si>
    <t>…Santísima, patrona de España y de sus Indias. Posteriormente, y en el dia de ayer, en que se celebró la milagrosa apa rición de nuestra Señora de Guadalupe, se recibió oficio del coronel D. Fran cisco Orrantia,en Salvatierra , de haberse presentado al teniente coronel Don Luis Quinranar los cabecillas Vargas y Salgado con sus partidas á gozar del indulto, entregando á dicho gefe el fuerte de Carrizalillo situado entre los Reyes y Apacingan, lugar en…</t>
  </si>
  <si>
    <t>…D. Ignacio Clemente. Después de esto el Excmo. Sr. director recomendó á ios discípulos la necesidad de acre ditar en lo sucesivo igual aplicación ; manifestó al catedrático socio D. Fran cisco de Paula Martí lo satisfactorio que habia sido al cuerpo ver su zelo y esmero en la instrucción pública; y dio las gracias al numeroso concurso, poniendo al mismo tiempo de manifiesto un egemplar de una obra inglesa so bre la taquigrafía aplicada á la m…</t>
  </si>
  <si>
    <t>…entidos, que se venera en la iglesia de carmelitas descalzos de Barcelona, y es copia de la estatua hecha por Don Raimundo Amadeu, académico de la Real de S. Fernando, grabada por D. Fran cisco Fontanals, examinado de mérito en la Real academia de S. Carlos de Valen cia. Se hallará en la procuración general de los padres carmelitas descalzos de Ma drid, y en la portería de S. Josef de Barcelona, á 4 rs. EN LA IMPRENTA REAL.</t>
  </si>
  <si>
    <t>…arar.í e! perjuicio que haya lugar. Con motivo del fuego experimentado en 31 de Agosto último en la casa nú mero 9 de la calle de la Montera de esta corte, en que tuvo su comercio D. Fran cisco Villar, ha acudido este ante el Sr. D. Joaquín Almazan, teniente corregidor de esta villa, por la escribanía del número de D. Juan Raya, cediendo sus bienes en favor de sus acreedores, entre los que se ha mandado celebrar junta el dia 29 de este mes á l…</t>
  </si>
  <si>
    <t>…ero de corregidor de esta heroica villa de Madrid, y por la escribanía del número del cargo de D. Bernardo Díaz de Antoñana, donde se halla radicado el juicio de testamentaría del D. Fran cisco Arana. D. Pascual Martínez, presbítero en la villa de Perales de Tajuña, ofrece 3 rs. diarios, pagados mensualmente, á la maestra que quiera encargarse de ensenar una corta porción de niñas pobres, sin perjuicio de lo que la puedan valer el resto de las…</t>
  </si>
  <si>
    <t>…á que se ha hecho acreedora esta partida por sus fatigas. „ Dios guarde á vmd. muchos años. Cerro de Tlacuilo Febrero 20 de 1817. ss Josef Antonio Perez del Callejo.= Sr. teniente coronel D. Fran cisco de las Piedras.” IXTLAHUACA. Partes del coronel D. Matías Martin y Aguirre. i.° „ Excmo. Sr.: Con oficio de 14 del corriente me ha dirigido el te niente coronel graduado D. Marcos Rodríguez, comandante de Maravatio, el adjunto parte del capitán del regi…</t>
  </si>
  <si>
    <t>Fran, María Isabel</t>
  </si>
  <si>
    <t>María Isabel Fran</t>
  </si>
  <si>
    <t>…, nos hace participantes no menos del júbilo y regocijo que ha dominado sus corazones desde el momento que tuvieron noticia del enlace y unión de V. M. con la Reina nuestra Señora Doña María Isabel Fran cisca de Braganza, y no es dable expresar con palabras, que de la dulce satisfacción, de postrarse á L. R. P. de V. M. y besar su Real mano por la ocasión de habernos comisionado para felicitar, como tenemos el honor de practicarlo, á V. M. con tan digno como…</t>
  </si>
  <si>
    <t>Francis</t>
  </si>
  <si>
    <t>…Cámara Cano, del Consejo de S. M. en el supremo de Hacienda, teniente primero de corregidor, y corregidor in terino de esta muy heroica villa, dada en autos de concurso hecho por D. Francis co Santana en el año de 1790 , por la escribanía del número de D. Pascual Seco, se cita á junta general á todos los acreedores del concursado para el dia 17 de Agosto próximo á la hora de las ocho de la mañana en la posada de dicho señor juez, para cuyo dia s…</t>
  </si>
  <si>
    <t>Francis, María</t>
  </si>
  <si>
    <t>María Francis</t>
  </si>
  <si>
    <t>…bles noticias recibidas últimamente en esta capi tal , tanto las relativas al feliz arribo á la península de la Reina nuestra Se ñora (que Dios guarde) y de la Serma. Sra. Infanta Doña María Francis ca de Asís, y la victoria conseguida sobre los argelinos, que ha puesto fin á la cautividad de los cristianos en aquella regencia , cuanto las que anuncian los triunfos de las armas del Rey nuestro Señor en estos dominios, y constan en la gaceta de hoy, exige…</t>
  </si>
  <si>
    <t>…orden de antigüedad en sus respectivos asientos , sa lió S. M. y ocupó el que le estaba preparado, teniendo á su derecha, y con separación de los bancos, á la Serma. Sra. Infanta Doña María Francis ca de Asís, dama de la misma orden, que ocupaba la silla dispuesta al efec to ; y habiendo nombrado S. M. á la Excma. Sra. condesa de la Puebla, ca marera mayor,y dama de la orden, para que le sirviese las bandas é insig nias colocadas de antemano en una band…</t>
  </si>
  <si>
    <t>Francisca, María</t>
  </si>
  <si>
    <t>María Francisca</t>
  </si>
  <si>
    <t>…s que le han sido sus heroicos servicios.” En el propio dia los mismos señores felicitaron al Sermo. Sr. Infante Don Carlos por su contraido enlace con la Sra. Infanta de Portugal Doña María Francisca pe Asís. ARTICULO DE OFICIO. El Rey nuestro Señor, en atención á los méritos y servicios de D. Arflbrosio Plazaola , contador general de las encomiendas de los Sennos. Sres. In fantes D. Cárlos María y D. Francisco de Paula, ha venido en concederle los honore…</t>
  </si>
  <si>
    <t>…asistir al otorgamiento y á la ratificación de las capitulaciones matrimoniales de S. M. con la Reina nuestra Señora y del Sereno. Sr.' Infante D. Cárlos con la Serma. Sra. Infama Doña María Francisca. En todo el discurso de su carrera militar y política dio conti nuadas muestras de ias prendas y virtudes que eran tan propias de su ilustre cuna, y que le merecieron justamente la confianza del Gobierno y el con cepto general del público. En su vida privada…</t>
  </si>
  <si>
    <t>…Reina; y 110 pudiendo gozar completamente de la felicidad que me prepara este dia, tanto mas célebre por el dichoso enlace de mi amado y augusto Hermano Don Carlos con la Infanta Doña María Francisca, sin aliviar antes, en cuanto permitan las leyes y la situación del Reino, la suerte de los desgraciados que gimen bajo el peso de sus crímenes: he venido en conceder indulto general á los delincuentes que sean capaces de él en la Península é Islas adyacentes…</t>
  </si>
  <si>
    <t>Francisca, María Isabel</t>
  </si>
  <si>
    <t>María Isabel Francisca</t>
  </si>
  <si>
    <t>sonjera comisión de felicitar á V.M.á nombre de su ilustre ayuntamiento y leal vecindario, por el dichoso verificado enlace con la Serma. Sra. Infanta de Portugal Doña María Isabel Francisca , cuya venturosa unión esti man aquellos habitantes como la base de la pública y privada felicidad de los afortunados vasallos del mas amado de los Reyes. „E1 cielo, que ha premiado el heroísmo de V. M. en las desoladoras aflic ciones de su injusto y largo ca…</t>
  </si>
  <si>
    <t>Francisco</t>
  </si>
  <si>
    <t>…de Enero tuvo la honra de felicitar á S. M. por su efectuado matrimonio la ciudad dé Borja por medio del Excmo. Sr. marques de San ta Cruz, grande de España de primera clase, y el Sr. D. Francisco de la Justicia, consejero de Hacienda, decano de la diputación de los reinos, y ca ballero pensionado de la Real y distinguida orden española de Cárlos ni; y el primero dijo : „Señor : La ciudad de Borja , una de las de voto en cortes de vuestro rei no de Ara…</t>
  </si>
  <si>
    <t>…la Nueva, en consecuencia de despacho de D. Vicente Gi rón Villamandos, alcalde mayor de la ciudad del Puerto de Santa María, se ci ta, llama y emplaza por tercera y última vez á D. Francisco y D. Antonio García Mayor de Londoíío, y á sus hijos ó descendientes legítimos, llamados á la sucesión del vínculo que fundó D. Vicente García Mayor de Londoño á nombre de su muger Doña Josefa Manuela de Reinoso, para que en el término que tiene señalado el citado alcalde mayor acudan á su juzgad…</t>
  </si>
  <si>
    <t>…Carlos Moya á los rebeldes, situa dos en una altura fortificada por el rumbo de Acapulco, y logró desalojar los y destruir sus obras. En 20 de Setiembre último remitió el teniente coronel D. Francisco de las Piedras, comandante de Tulancingo , un diario de operaciones de los ca pitanes D. Rafael Duran y D. Josef María Luvian, comandante de Zacatlan y Huauchinango, en que constan las diversas correrías de estos dos ofi ciales, en las cuales consiguieron la…</t>
  </si>
  <si>
    <t>…ultados quedan en esta cabecera, y estaré á la mira de sus operaciones. ,,Dios guarde á V. muchos años. Huauchinango y Diciembre 8 de 1816. = josef María Luvian. = vSeñor teniente coronel D. Francisco de las Piedras, comandante general de esta sección.” Almanta de Doña Grodina (reino de Aragón) 20 de Mayo. D. Martin Artigas, preceptor de gramática de esta villa, tuvo en los dias 3 y 4 del corriente certámenes públicos en la iglesia parroquial de la misma,…</t>
  </si>
  <si>
    <t>…años. Salvatierra Diciembre 5 de 1816. A las ocho y media de la noche. = Excmo. Sr. = Francisco de Orrantia.= Excmo. Sr. virey D. Juan Ruiz de Apodaca.” 2.0 Del teniente coronel y comandante D. Francisco de las Piedras. ,, Excmo. Sr-: Acompaño á V. E. para su debido conocimiento el diario de las operaciones militares del capitán D. Josef María Luvian, comandante militar de Huauchinango , comprensivo desde el 21 hasta el 29 del presente Noviembrej por él verá…</t>
  </si>
  <si>
    <t>…vulgaridades, parece que hasta ahora no se puede hacer otra cosa que dejar al tiempo la explicación de estos sucesos. ESPAÑA. México 21 de Diciembre. Parte del teniente coronel y comandante D. Francisco de las Piedras. ,,Excmo. Sr.: Acompaño á V. E. para su superior conocimiento el</t>
  </si>
  <si>
    <t>…tros sin ninguna arma por expresar se fugaron de la reunión que tenían. ,,Dios guarde á V. muchos años. Huauchinango 13 de Diciembre de 1816.= Josef María Luvian. = Señor teniente coronel D. Francisco de las Piedras, comandante general de esta sección.” El Excmo. Sr. virey ha mandado en consecuencia que se expidan á estos individuos las correspondientes cédulas de indulto. Partes del teniente coronel y comandante D. Antonio Linares. i.° ,,Exemo. Sr.: El 5…</t>
  </si>
  <si>
    <t>588</t>
  </si>
  <si>
    <t>…net ino cente , y Fourques culpable; en consecuencia el tribunal absolvió al prime ro , y condenó á muerte al segundo. ESPAÑA. México 2g de Diciembre. Parte del teniente coronel y comandante D. Francisco de las Piedras. „ Exorno. Sr.: Para el debido conocimiento y satisfacción de V. E. le incluyo el parte original del capitán D. Josef María Luvian, comandante militar de Huauchinango.</t>
  </si>
  <si>
    <t>…a y misa de gracias. Lo que pongo en noticia de V. para su conocimiento. ,,Dios guarde á V. muchos años. Huauchinango Diciembre 13 de 1816. == Josef María Luvian. = Señor teniente coronel D. Francisco de las Piedras.” Parte del teniente coronel y comandante T&gt;, Antonio Linares. / ,,Excmo. Sr. : Paso á las superiores manos de V. E. el parte original, que con fecha 21 del que rige me da el sargento mayor de Nueva-España D. Josef de Castro de lo acaecido en e…</t>
  </si>
  <si>
    <t>…onio Rabert Santa Susana y Moner sobre adjudicación y pertenencia de la universal herencia y bienes que fueron de D. Pablo Bas, Don Félix y Dona Magdalena Bas y Balaguer, y los de D. Francisco y D. Ignacio Bas, se cita de nuevo, llama y emplaza por retardado ai referido D. Josef Antonio Ra bert Santa Susana y Moner, cuyo paradero se ignora, y en su defecto á sus herede ros y sucesores, para que vengan y se presenten en este supremo Consejo por la es cribanía de cám…</t>
  </si>
  <si>
    <t>…r medio de este pe riódico, mediante á que no se sabe de la existencia de la mayor parte de ellos, siendo los que resultan de autos D. Manuel Royales , D. Pedro Martínez Retuerta, D. Francisco y D. Josef de Arratia, D. Manuel Segundo Martinez, D. Pedro del Rio, la viuda de D. Inocencio Sánchez, D. Manuel López de Rivas, D. Josef An gel de Santelices, Facundo Calleja, Juan Mejorada, Pedro de la Peña, Santiago Vallalado , D. Juan Miguel Alcalá, D. Francisco García de la P…</t>
  </si>
  <si>
    <t>…ebe confiar poco en las promesas de un Gobierno de esta clase.” ESPAÑA. México j_9 de Marzo. Continuación de los partes de 'Nueva-España. TULANCINGO. Oficio del teniente coronel y comandante D. Francisco de las Piedras. ,, Excmo. Sr.: Acompaño á V. E. respetuosamente para su superior co nocimiento el parte original que me ha remitido el capitán de milicias de México D. Josef Antonio del Callejo, sobre la correría que hizo de mi or den por la sierra de Tutotep…</t>
  </si>
  <si>
    <t>…d de S. Felipe y Santiago del Bejucar,por sí y en nombre de sus hijos legítimos D. Josef, D. Lorenzo, D. Antonio, Doña María de la Concepción, Doña Gertrudis, Doña María de Jesús, D. Francisco,D. Juan, D. Manuel y Dou Ramón López Perez, naturales de la Havana; y habiendo fallecido el referido su padre D. Antonio López Gómez en el mismo año de 1802 , al tiempo de estar para recoger dicho documento, habiendo dejado pagado parte de sus gastos, dejan d…</t>
  </si>
  <si>
    <t>…aría Lnha , para tomar en su nombre posesión de este principado, en virtud del tratado da Viena de 9 de Junio de 1815 , y del de París de 10 del mismo mes último pasado; el Excmo. Sr. D. Francisco, conde de Snurau, gentilhombre, consejero ínti mo actual de-Estado de S. M. I. y R. A., gran cruz de la orden Imperial •austriaca de S. Estéban Rey de Hungría, y de otras varias, gobernador general de la Lombardía, y comisario plenipotenciario para esre acto,…</t>
  </si>
  <si>
    <t>Franco, Bernardo</t>
  </si>
  <si>
    <t>Bernardo Franco</t>
  </si>
  <si>
    <t>…el mismo, que me servía de ayudante, D. Juan Lagos, al subteniente D. Juan Morilla, de ía partida de España, al alférez de húsares D. Joaquín Nuñez, al cadete de caballería ligera D. Bernardo Franco, que también hacia de mi ayudante, á los sargentos Narciso Otero, de la partida de España, D. Josef Martínez, de húsares, y Cornelio Nieves, de lanceros , asi como á los soldados del fijo Trinidad Reina, Francisco Jaso y Josef Villalon; habiendo estos dos últ…</t>
  </si>
  <si>
    <t>Franco, Lino Matías Picado</t>
  </si>
  <si>
    <t>Lino Matías Picado Franco</t>
  </si>
  <si>
    <t>…ércíto (ó sea de Soria) durante nuestra sagrada lucha, al mando del Excmo. Sr. D. Josef Joaquín Duran y Barazabal, mariscal de campo de los Reales egércitos &amp;c.: escrita por el P. D. Lino Matías Picado Franco, capellán que fue de uno de los cuerpos de la división, testigo ocular de todo, quien habiendo tenido á la vista todos los documentos necesarios, se ha propuesto escribir los hechos con toda la exactitud que exige una historia que siempre hará honor á nuestra…</t>
  </si>
  <si>
    <t>…uerra de la división soriana durante nuestra sagrada lucha al mando del Excmo. Sr. D. Josef Joaquin Duran y Barazabal, mariscal de campo de los Reales egércitos: escrita por el P. D. Lino Matías Picado Franco, capellán de uno de los cuerpos de la división: dos tomos en 8.° Se hallará en las librerías de Brun, frente á las gradas de S. Felipe el Real; de Sojo, calle de las Carretas, y en la imprenta de Dávila, calle de Barrionuevo; en Zarago za en la librería de Po…</t>
  </si>
  <si>
    <t>Franco, Luis</t>
  </si>
  <si>
    <t>Luis Franco</t>
  </si>
  <si>
    <t>…rique, se cita, llama y emplaza por término de 30 días, contados desde esta publicación, á D. Manuel Saenz del Prado, D. Lorenzo Fer nandez de León, D. Juan Lorenzo Sánchez Cueto, D. Luis Franco, Doña Librada Perez Escovar, D. Joaquin Antonio Román, los Sres. Alzueta y Beratarrechea, D. Rafael Rodríguez, D. Juan de Dios Elias, los Sres. Bohe, hermanos y compa ñía, D. Mariano de Urbieia, D. Josef Uhicon, D. Ignacio Suarez, D. Francisco Antonio Abadía,…</t>
  </si>
  <si>
    <t>Freire, Gómez</t>
  </si>
  <si>
    <t>Gómez Freire</t>
  </si>
  <si>
    <t>…boa 28 de Mayo. En la noche del 25 al 26 del corriente se hicieron en esta corte varias prisiones, á que asistió personalmente el mariscal Beresford. Las mas nota bles son las del general Gómez Freire y la del barón de Ebben, oficial ale mán , que estuvo al servicio de Portugal en la última guerra. Están igualmen te presos algunos oficiales militares. Las patrullas de infantería y caballería que rondaron aquella noche la ciudad fueron muchas y fuertes. El…</t>
  </si>
  <si>
    <t>…reos eran 18: 12 sufrirán hoy la pena de horca; cuatro salen desterra dos , y dos libres. Los bienes de los 16 culpados se confiscan. Entre los ajusticiados se cuentan el teniente general Gómez Freire (quien parece solicitó ser pasado por las armas, y negada su pretensión debe ser ajusticiado en la misma prisión en que se hallaba), algunos gefes de milicias y reformados, y varios oficiales. Entre los desterrados se halla el baron.de Ebben , quien será expu…</t>
  </si>
  <si>
    <t>Freire, Juan</t>
  </si>
  <si>
    <t>Juan Freire</t>
  </si>
  <si>
    <t>3002</t>
  </si>
  <si>
    <t>…gelio. A las diez y cuarto se dio principio á la fun ción con el Te Deumx que se cantó con toda solemnidad, y en seguida ofi ció la misa el señor vicario, y predicó el beneficiado D. Juan Freire, el cual solo tuvo 20 horas de tiempo para componer y estudiar la elegante oraciop que pronunció5 concluyéndose la función después de las doce. Bilbao go de Agosto. El ayuntamiento de esta villa celebró ayer una función de iglesia con mi* sa solemne y Te Deum…</t>
  </si>
  <si>
    <t>Freire, Manuel</t>
  </si>
  <si>
    <t>Manuel Freire</t>
  </si>
  <si>
    <t>…a ciudad. Tendráse entendido en la Cámara, y se le expedirán los despachos correspondtentes.=Rubricado de la Real mano.” Circular del Ministerio de Guerra. Los Tenientes Generales D. Manuel Freire, D. Gaspar de Vigodet y D. Sa ntiago Withinga.11 han manifestado al Rey nuestro Señor el singular mérito contraído por las valientes tropas al mando del difunto General Du que de Alburquerque en las acciones de Mora y Consuegra dadas los dias 18 y 22 de Febre…</t>
  </si>
  <si>
    <t>Frimm</t>
  </si>
  <si>
    <t>…s escuelas y otros establecimientos de instrucción. La declaración que contiene estas disposiciones ha sido también firmada por muchas perso nas de distinción de Soleu re, como el coronel Frimm , el antiguo prefecto Zeltner &amp;c. Friburgo 12 de Abril. Hasta ahora han pasado por aquí unos 6® hombres de las tropas austría cas del egército de ocupación que hay en Francia. Desde esta ciudad se han dirigido á Moeskirch y Ulm, donde pasarán el Danubio para…</t>
  </si>
  <si>
    <t>Frontín, Cristóbal</t>
  </si>
  <si>
    <t>Cristóbal Frontín</t>
  </si>
  <si>
    <t>…estro Señor se ha servido conceder su Real permiso á D. Si món de Olañeta para que pueda usar la cruz y condecoración de la Lis , de que le ha hecho gracia S. M. Cristianísima. El coronel D. Cristóbal Frontín, comandante de escuadrón, agregado al estado mayor de Alicante, ha solicitado para sí, los oficiales y tropas del primer escuadrón de húsares de Fernando vn una cruz de distinción por la bizarría con que cargaron ai enemigo, triple de fuerzas, el dia 26de Dic…</t>
  </si>
  <si>
    <t>Frontín, Josef Villar y</t>
  </si>
  <si>
    <t>Josef Villar y Frontín</t>
  </si>
  <si>
    <t>…ata D. Juan Bautista Topete; D. Antonio Estevez, arcipreste de la colegiata de Medinaceli; Don Vicente Romero, oficial primero de la secretaría del despacho de Hacienda de Indias; D. Josef Villar y Frontín, oficial de la secretaría del despacho de Hacienda de España. Honores del tribunal de la Rota de la Nunciatura A los Sres. D. Manuel Fernandez Varela, deán de Lugo; D. Antonio García Bermejo, capellán de honor de S. M.; D. Pablo Lorenzo Largo Carrasco , canón…</t>
  </si>
  <si>
    <t>Frutos, Agustín</t>
  </si>
  <si>
    <t>Agustín Frutos</t>
  </si>
  <si>
    <t>…te, tomando el carácter de expulsivos, y si guieron aumentándose hasta las dos y 17 minutos de la mañana del dia 21, hora dichosa en que S. M., auxiliada de la pericia y conato de D. Agustín Frutos, primer cirujano de cámara del Rey nuestro Señor, dio á luz una niña perfectamente organizada, después de haber luchado todo el dia y no che con una constancia heroica superior á toda exageración, contra obs táculos poderosos que se oponían á la expulsión del…</t>
  </si>
  <si>
    <t>1178</t>
  </si>
  <si>
    <t>…y dichoso parto de la Reina , su muy amada y digna Soberana.” El dia 16 de Octubre por la mañana fue vacunada la Serma. Sra. In fanta Doña Isabel por el primer cirujano de cámara D. Agustín Frutos, ha biéndola hecho dos incisiones en cada brazo con el pus tomado del brazo de otra niña: á los ocho dias se reconocieron las incisiones, y se vio que las dos del brazo izquierdo habían producido el efecto deseado, desde cuyo dia hasta hoy ha seguido S. A. co…</t>
  </si>
  <si>
    <t>Fuciño, Vicente</t>
  </si>
  <si>
    <t>Vicente Fuciño</t>
  </si>
  <si>
    <t>…o de S. Gerónimo bajo unas constituciones mas sabias; establecida la visita de cátedras; surtida la de ñsica con una colección de fi.guras^ matemáticas dispuestas y egecutadas por D. Vicente Fuciño con tan ta perfección como inteligencia, y de exquisitos y exactísimos instrumen tos de matemáticas que se compraron en París bajo la dirección de D. Josef Rodríguez , catedrático de física de la misma universidad , bien conocido den tro y fuera de España por…</t>
  </si>
  <si>
    <t>Fue, Juan Nepomuceno</t>
  </si>
  <si>
    <t>Juan Nepomuceno Fue</t>
  </si>
  <si>
    <t>…ta Calleja, y otro á D.Isidoro Preciado. Madrid $ de Marzo. El día 8 del pasado tuvo la honra de felicitar á SS. MM. por su augusto enlace á nombre de la villa de Cañizares el Dr. D. Juan Nepomuceno Fue ro; quien entre otras cosas dijo lo siguiente: ,,Señor: La villa de Cañizares, que en su representación y confianza me honra para que á vuestros augustos y Reales pies felicite á V v. MM., y ha ga presente la satisfacción y gloria que le cabe en vuestra augus…</t>
  </si>
  <si>
    <t>Fuero, Juan Nepomuceno</t>
  </si>
  <si>
    <t>Juan Nepomuceno Fuero</t>
  </si>
  <si>
    <t>…S. M. con su bondad característica se mostró satisfecho de los sentimien tos expresados por la suprema, asamblea*. El día 21 del mismo tuvo la honra de felicitar á SS. MM. el Dr. D. Juan Nepomuceno Fuero , canónigo de Cuenca ; quien dijo entre otras cosas lo si guiente : „ Señor: Nueva honra y la mas satisfactoria es la que recibo á vuestros augustos pies con haberme dispensado la particular gracia de felicitar á Vv. MM. por la religiosa y augusta unión con u…</t>
  </si>
  <si>
    <t>…sto sobre la renta del tabaco 8400 rs. Un vecino de Badajox, cuyo nombre no quiere se dé al pú blico, en varios recibos de dinero que dio para la defensa de aquella plaza 9260 rs. D. Juan Nepomuceno Fuero, canónigo de Cuenca , y sus hermanos D. Manuel y D. Jacinto 30 acciones del banco nacional de S. Carlos. Don Josef de Trani, cura párroco de Uadros., en el obispado de Urgel, 4173 rs. en créditos contra la Real hacienda. El ayuntamiento de Arcos de la Fron te…</t>
  </si>
  <si>
    <t>Fuertes, Francisco</t>
  </si>
  <si>
    <t>Francisco Fuertes</t>
  </si>
  <si>
    <t>…de Ceuta á Don Antonio García de Veas, auditor que fue del egército de la izquierda. El Rey nuestro Señor se ha servido conceder su Real permiso al comi sario ordenador honorario D. Francisco Fuertes, cortador del Crédito pú blico en Sevilla , para que pueda usar del distintivo de la cruz de la Espue la de oro. El Rey nuestro Señor se ha servido admitir el donativo hecho á favor de i a Re; 1 IIcF/nda p»?r D. Francisco Pavón Cabezudo, vecino de la villa de…</t>
  </si>
  <si>
    <t>Fuertes, Juan</t>
  </si>
  <si>
    <t>Juan Fuertes</t>
  </si>
  <si>
    <t>…remio en la clase de mayores D. Floren tino de T&lt; rre : en la de medianos D. Hilarión Barrenengoa el segundo, y en la de mi ñores D. Manuel Ordazgasti el tercero: en la de álgebra D. Juan Fuertes el primero, y D. Henrique Salazar el segundo: en la de aritmética el tercero D. Manuel Velasco : en la de dibujo y arquitectura D. Benito Campo el primero, D. Ramón Garrido el segundo, y D. Amtonio Msnglano el tercero; y á Lorenzo lbañez, cabo del regimiento…</t>
  </si>
  <si>
    <t>Fuertes, Tomas de Linacero y</t>
  </si>
  <si>
    <t>Tomas de Linacero y Fuertes</t>
  </si>
  <si>
    <t>…ación, y quedaron líquidos de la venta de una casa calle de Peregrinos, núm. 18, rnanz. 382, efec tuada en concepto de memorias, á los cuales salieron pretendiendo deiecho el lie. D. Tomas de Linacero y Fuertes, abogado de los Reales Consejos, y clérigo de menores en esta corte, como capellán cumplidor de Ja memoria de misas que fundó Doña Isabel Gómez, viuda de Sebastian Ruiz, y Doña Isabel Antonia Zoa González de Córdoba, viuda, vecina de esta corte, en concepto d…</t>
  </si>
  <si>
    <t>Fuidio, Braulio Antonio de</t>
  </si>
  <si>
    <t>Braulio Antonio de Fuidio</t>
  </si>
  <si>
    <t>…con algunas notas, y aumentadas de un apéndice que publica la receta genuína del celebrado jarabe antigálico de Puente de la Reina, vendido hasta el presente como un'secreto, por D. Braulio Antonio de Fuidio, ayu dante de cirugía militar &amp;c.: un cuaderno en 4.0 á 6 rs. en rústica. Se hallará en Ma drid en la librería de Barco, carrera de S. Gerónimo, y en la de Quiroga, calle de las Carretas; en Vitoria en la de Barrio; en Búrgos en la de Alvarez; en Valladolid e…</t>
  </si>
  <si>
    <t>Fulgosio, Francisco</t>
  </si>
  <si>
    <t>Francisco Fulgosio</t>
  </si>
  <si>
    <t>…o alumbramiento de la Reina nuestra Señora, á nombre de la ciudad de Lé rida, el Sr. D. Tadeo Soler, ministro honorario del Consejo Real, y alcalde decano de la Real casa y corte; D. Francisco Fulgosio , teniente de Reales guardias Waionas, y D. Ignacio Bufalá, guardia de la Persona del Rey; el primero de los cuales dijo: ,,Señor: La muy noble ciudad de Lérida nos ha distinguido con la grata confianza de felicitar á V. M. por el dichoso alumbramiento de la…</t>
  </si>
  <si>
    <t>Fustemberg</t>
  </si>
  <si>
    <t>…n sollo de ocho pies de largo, que pesaba 10 arrobas, y le tuvieron vivo algún tiempo para enseñarle á los curiosos. Versailles 11 de Junio. Ha muerto aquí á la edad de 99 años el general Fustemberg, oficial mas antiguo del egército francés. Era individuo de la legión de Honor y de la orden del Mérito, la cual grangeó por so bizarría y pericia militar en las cam-</t>
  </si>
  <si>
    <t>Fuster, Miguel</t>
  </si>
  <si>
    <t>Miguel Fuster</t>
  </si>
  <si>
    <t>928 de Mayo de i8o8, cotí el núrn. 450565, que le fue endosado por D. Miguel Fuster en dicha ciudad; y como se ignore el paradero de este, á instancia del D. Pablo ha mandado dicho señor teniente corregidor se le cite y emplace por medio de este periódico al D. Miguel, para que en el término de 30 dias, contados desde la pu blicación, compar…</t>
  </si>
  <si>
    <t>G, Pedro</t>
  </si>
  <si>
    <t>Pedro G</t>
  </si>
  <si>
    <t>…o Guadalquivir en la presa de los molinos sin saber nadar, y á pocos momentos se sumergió. No obstante de hnb3rle sa cado inmediatamente salió asfítico y sin dar muestras de vida. D. Pedro G on zález de.Canales , hacendado y vecino de dicha villa, que á la sazou estaba</t>
  </si>
  <si>
    <t>Ga</t>
  </si>
  <si>
    <t>…á su mas exacto cumplimiento en la parte que le corresponde. Dios guarde á V. muchos años. Madrid 7 de Junio de 1817. El Rey nuestro Señor se ha servido conceder su Real permiso á D. Ga briel Pedrero, cura párroco de la villa de Pesquera de Duero, para que pueda usar de la condecoración de la flor de Lis con que le ha agraciado S. AL Cris tianísima. Con Real permiso se rifa una casa existente en el Real sitio de Aran juez, y su calle del Cap…</t>
  </si>
  <si>
    <t>Ga, Joaquín</t>
  </si>
  <si>
    <t>Joaquín Ga</t>
  </si>
  <si>
    <t>…sable se presenten á pedir la gracia del indulto. (*) Recomiendo á vmd. toda la división, y muy particularmente al tenien te y subteniente del regimiento infantería de Fernando vn D. Joaquín Ga ta y D. Domingo Noriega , y al teniente del escuadrón urbano de Toluca D. Vicente González, por la constancia con que superaron los muchos obs táculos en la rápida marcha y demas movimientos que tuvieron que egecutar en aquella noche, para que si lo tuviere á…</t>
  </si>
  <si>
    <t>Ga, Valentín</t>
  </si>
  <si>
    <t>Valentín Ga</t>
  </si>
  <si>
    <t>…de la Fuente , D. Josef García Vázquez , D. Aquilino Lu nar, D. Pedro Gómez, D. Celedonio Casado, D. Vicente Berdion , Don Joa quín Lumeras, D. Tomas Asensio, D. Mateo Rodriguez, D. Valentín Ga veta, D. Pedro Martin, D. Antonio Fernandez, D. Andrés Redondo, Don Federico Movilla, D. Bernardo Huelga, D. Esteban Blanco, D. Miguel Alonrso, D. Cesáreo Viguera, D. Miguel Chana, D. Antonio Castro, D. Toribio González, D. Santiago Alonso, D. Tomas Pardo, D.…</t>
  </si>
  <si>
    <t>Gabanaeh, Mariano</t>
  </si>
  <si>
    <t>Mariano Gabanaeh</t>
  </si>
  <si>
    <t>…castillo de Paimogo, en el condado de Nie bla, al teniente coronel D.Juan Zambratio, capitán del regimiento de infan tería de América: el del castillo de Mequinenza, en Aragón, al capitán D. Mariano Gabanaeh, teniente dei regimiento de infantería del Príncipe. También se ha dignado S. M. conceder el empleo de auditor de guerra de la provincia de Castilla la Nueva á D. Benito Salinas, que servia igual empleo en la de Castilla la Vieja; la plaza que queda vacante p…</t>
  </si>
  <si>
    <t>Gadeo, Francisco Sánchez</t>
  </si>
  <si>
    <t>Francisco Sánchez Gadeo</t>
  </si>
  <si>
    <t>…Yo D. Marcelo de Ondarza, Secretario del Rey nuestro Señor, lo hice escribir por su mandado. = El Almirante ‘Duque de Veragua.c=D. Víctor Rascón. = D. Josef Martínez de Bustos. = D. Francisco Sánchez Gadeo. El Rey se ha servido promover á gefe de escuela en el departamento de Artillería de la Coruña al mariscal de campo D. Joaquín de Ibarra, coro nel de dicha arma. Ed Rey nuestro Señor se ha servido conceder su Real permiso á D. Joa quín Manuel del Hierro, admi…</t>
  </si>
  <si>
    <t>Gal, Francisco</t>
  </si>
  <si>
    <t>Francisco Gal</t>
  </si>
  <si>
    <t>…eografía los referidos Pujadas, Valay y D. Fermín Galceran. En navegación los expresados Perez y D. Juan Pablo Rodríguez; y en la hidrostática é hidráulica los referidos Pacheco y D. Francisco Gal ceran: habiendo merecido la aplicación de todos y sus adelantamientos, no solo en las materias sobre que fueron examinados , sino también por varios dibujos que han presentado, y representaban edificios, vistas de países y planos de puertos, un aprecio muy pa…</t>
  </si>
  <si>
    <t>Galan, Josef Alegre</t>
  </si>
  <si>
    <t>Josef Alegre Galan</t>
  </si>
  <si>
    <t>…rnos: en Cataluña Don Ignacio Graells, médico de Carabanchel de abajo, para Caldas deMombuy: D. Antonio Coca, médico titular de la villa de Igualada, para Caldetas: en Extremadura D. Josef Alegre Galan, médico titular de la villa de Campa nario, para Alange: D. Francisco Martinez, médico de número del egérciro, para la Fuente de Loro: en Galicia D. Benito Sanjurjo, médico de la ciudad de Orense, para Cortegada: D. Manuel Lasobo Fernandez, médico de Cal das…</t>
  </si>
  <si>
    <t>Galan, Marcos</t>
  </si>
  <si>
    <t>Marcos Galan</t>
  </si>
  <si>
    <t>…egovia , y auditor honora rio de la Nunciatura. Consiliario i.° D. Josef María Diez Quijada y Oveje ro. Idem 2.0 D. Clemente García Escudero y Urrutia. Idem 3.0 D. Pablo Govantes. D. Marcos Galan , D. Antonio Castellano y Cabrejano, D. Juan González Miranda, D. Antonio Arias de Prada , D. Justo Saenz de S. Pedro, D. Gabriel Ceruelo de Velasco y D. Josef Sacasa. Capellán D. Francisco Carpintero y Eraso. Para el de S. Bartolomé en Salamanca. Rector D. R…</t>
  </si>
  <si>
    <t>Galarza, María Ignacia</t>
  </si>
  <si>
    <t>María Ignacia Galarza</t>
  </si>
  <si>
    <t>…835 y 66225 D. Manuel Callejo de Alba: de 600 pesos de i.° de Mayo de 1808, núms. 391730 Doña Catalina Gómez; y 412136 D. Julián Diaz: de 300 pesos de idem, niims. 477420 y 476798 Doña María Ignacia Galarza; los cuales se hallan reclamados por D. Bonifacio Doz y la Cerda, vecino de Tarazona, en Aragón, por sí y como heredero de su padre D. Jaime Doz, para que dentro del término de 30 dias precisos y perentorios, contados desde 6 del corriente, acu dan á su juzga…</t>
  </si>
  <si>
    <t>Galasi</t>
  </si>
  <si>
    <t>…taña. Se asegura también que la corte de las Dos Sicilias tomará á su servicio dos regimientos suizos si puede concluir un convenio militar con los cantones. El Papa ha enviado al coronel Galasi á Bolonia para formar un cuerpo de gendarmas. Se hacen todos los esfuerzos posibles para restablecer la segu ridad pública en los estados de la Iglesia, lo cual es bastante difícil. Lo mis mo sucede en las provincias austríacas de Italia, donde el Gobierno ti…</t>
  </si>
  <si>
    <t>Galceran, Fermín</t>
  </si>
  <si>
    <t>Fermín Galceran</t>
  </si>
  <si>
    <t>…. Benito Pereira. En cosmografía el referido Perez, D. Juan Pablo Rodríguez, D. Domingo Valay, D. Francisco Galceran y D. Lino Pacheco. En geografía los referidos Pujadas, Valay y D. Fermín Galceran. En navegación los expresados Perez y D. Juan Pablo Rodríguez; y en la hidrostática é hidráulica los referidos Pacheco y D. Francisco Gal ceran: habiendo merecido la aplicación de todos y sus adelantamientos, no solo en las materias sobre que fueron examinado…</t>
  </si>
  <si>
    <t>Galceran, Francisco</t>
  </si>
  <si>
    <t>Francisco Galceran</t>
  </si>
  <si>
    <t>…ometría esférica el mismo Rodríguez, Perez, Pujadas, Galceran, Loureiro, Palacios y D. Benito Pereira. En cosmografía el referido Perez, D. Juan Pablo Rodríguez, D. Domingo Valay, D. Francisco Galceran y D. Lino Pacheco. En geografía los referidos Pujadas, Valay y D. Fermín Galceran. En navegación los expresados Perez y D. Juan Pablo Rodríguez; y en la hidrostática é hidráulica los referidos Pacheco y D. Francisco Gal ceran: habiendo merecido la aplicación de todos y sus ade…</t>
  </si>
  <si>
    <t>Galeppi</t>
  </si>
  <si>
    <t>…e Abril se lee que el dia antes S. S., acompañado de varios cardenales, asistió á una ceremonia religiosa en la basílica Liberiana,y que dió por su mano la bendición al pueblo. El cardenal Galeppi, que murió hace algunos meses en Rio-Janeiro, te nia 76 años de edad: es el primer cardenal que ha muerto en América. Él Príncipe heredero de Badén, hijo único del gran duque, murió en Carlsruhe el 8 de este mes, después de algunas convulsiones causadas por l…</t>
  </si>
  <si>
    <t>Galet, Manuel</t>
  </si>
  <si>
    <t>Manuel Galet</t>
  </si>
  <si>
    <t>i32 te dos efectos contra esta villa, el uno de 30291 rs. de principal sobre la renta del tabaco, en cabeza de D. Manuel Galet, y el otro de go$ rs. en la de D. Gaspar ide Sobremonte sobre las sisas de carnecerías y aceite, perteneciente todo a la testa mentaría y ocurrencia de D. Josef Serrano. Quien quisiere hacer postura acuda por Ja audiencia de dicho señor y escribanía del númer…</t>
  </si>
  <si>
    <t>Galiano, Dionisio Aicalá</t>
  </si>
  <si>
    <t>Dionisio Aicalá Galiano</t>
  </si>
  <si>
    <t>…e le robasen ademasen tierra el referido baúl y diario, con los apuntes que tenia hechos; pero no obstante, con presencia de la carta construida por el brigadier de la Real armada D. Dionisio Aicalá Galiano, marcó el parage donde naufragó, que fue un bajo de piedra como de una milla de extensión, y cuya menor agua es de 10 á i 1 pies franceses, del cual tiene presente de moraba el cabo deS. Jorge, estando barado, al N. ¿ N. E. corregido su va riación, á distanci…</t>
  </si>
  <si>
    <t>Galiano, Doti Antonio Alcalá</t>
  </si>
  <si>
    <t>Doti Antonio Alcalá Galiano</t>
  </si>
  <si>
    <t>293</t>
  </si>
  <si>
    <t>…r sona , excepto aquellas incomodidades que acompañan siempre á ios grandes sustos y sorpresas. Madrid 14 de Marzo. El dia 9 de Febrero tuvieron la honra de felicitar á SS. MM. el Sr. Doti Antonio Alcalá Galiano, del Consejo de S. M. en el supremo de Hacienda, y D. Mart in de Luque, cura párroco de la villa de Caniles de Baza , en re presentación de sy ayuntamiento; de los quales el primero dijo entre otras cosas: „Señor: La villa de Caniles de Baza, reino de Granada…</t>
  </si>
  <si>
    <t>Gall</t>
  </si>
  <si>
    <t>…clase de pasta mezcladas con una de levadura&gt; cinco de harina común y un puñado de sal, dieron cerca de 12 libras de pan moreno , pero sabroso y de mucho alimento. El Gobierno de Sr. Gall ha comunicado este importante descubrimiento á las juntas de caridad de su cantón. S. A. R. la Princesa de Gales llegó á Venecia el 16 de Abril, y el 18 asistió á una función magnífica que dió el conde de Goes, gobernador de aquella plaza. El 21 salió de Vene…</t>
  </si>
  <si>
    <t>Gallardo, Andrés Hervás y</t>
  </si>
  <si>
    <t>Andrés Hervás y Gallardo</t>
  </si>
  <si>
    <t>…o despacho, y en las provincias en todas las ad ministraciones principales y agregadas de correos. Por el presente se llama, cita y emplaza á los hijos y herederos del subteniente D. Andrés Hervás y Gallardo, que falleció en esta corte en 25 de Noviembre de *795 * Para que eu el término de go días, contados desde el 29 del pasado, com parezcan en el juzgado de la capitanía general de Castilla la Nueva á deducir lo que á su derecho convenga, contestando al traslad…</t>
  </si>
  <si>
    <t>Gallardo, Marta Juana</t>
  </si>
  <si>
    <t>Marta Juana Gallardo</t>
  </si>
  <si>
    <t>…onferirle el mando de U compañía de Reales Guardias de Alabarde ros, vacante por fallecimiento del capitán general marques del Castelar. Por el presente se cita, llama y emplaza á Doña Marta Juana Gallardo, viuda de D. Raimundo Josef de Souza, de nación portugués, capitán en el estado mayor del general Gazan, muerto por los fancescs en esta plaza y su Rea; sitio del BuenReliro en 5 de Abril de 1813, por espía del Gobierno español , y á los parientes mas inmedia…</t>
  </si>
  <si>
    <t>Galleffi</t>
  </si>
  <si>
    <t>…el ex pediente relativo á la beatificación y canonización del venerable siervo de Dios P. Francisco Posadas, del orden de Predicadores de la provincia de Anda lucía, en España. El cardenal Galleffi hizo también relación de otro expe diente sobre la beatificación y canonización del venerable siervo de Dios Teó filo de Corte, del orden de Mínimos. Estas dos causas recibieron la aproba ción general de la congregación; y S. S.,después de haber invocado el a…</t>
  </si>
  <si>
    <t>Gallego, Esteban Rodríguez</t>
  </si>
  <si>
    <t>Esteban Rodríguez Gallego</t>
  </si>
  <si>
    <t>S. M. se ha servido nombrar para el corregimiento político de la ciudad d£ Zamora al mariscal de campo D. Josef S. Juan : para el de letras de la ciudad de Avila á D. Esteban Rodríguez Gallego, alcalde mayor que era de Guadalajara-*. para el de Estepa á D. Lorenzo Cazaux : para el de Gibraltar á D. Julián Ruiz Marín, alcalde mayor que era de Ubrique: para el de Bedmar á D. Miguel de Luque y Medina: para el de Ponferrada á O. Nico lás Gómez Villaboa…</t>
  </si>
  <si>
    <t>Gallicioli, Eusebio</t>
  </si>
  <si>
    <t>Eusebio Gallicioli</t>
  </si>
  <si>
    <t>…amente en este importante servicio, evitando el contrabando, que por lo regular es el conductor de esta calamidad. El Rey nuestro Señor ha tenido á bien conceder su Real permiso á Don Eusebio Gallicioli, oficial de la administración general de Correos, para po der usar de la condecoración de la flor de Lis con que S. M. Cristianísima se ha dignado honrarle. En la Real capilla de Palacio del Rey nuestro Señor se halla vacante la segunda plaza de teniente soch…</t>
  </si>
  <si>
    <t>Gallo, Josef</t>
  </si>
  <si>
    <t>Josef Gallo</t>
  </si>
  <si>
    <t>…dose entre estos D. Pedro Serra y D. Eugenio Calderón en su cla.. se de mayores de gramática latina; D. Leonardo y D Francisco Gómez -en -la de medianos; D. Josef Félix del Campo, D. Josef Gallo, D. Juan Ca no y D. Pedro Capillas en la de menores ¿ D. Adrián Coilantes y Ramón</t>
  </si>
  <si>
    <t>Gallo, Juan</t>
  </si>
  <si>
    <t>Juan Gallo</t>
  </si>
  <si>
    <t>Sarmiento en escri.bir y contar, y D. Ramón de Arce, D. Juan Gallo , Don. Benito Mendoza y Fe'rinir. Moreno en leer y doctrina cristiano; á todos ios‘ cuales se premio con una medalla de plata después de tributar las debi das gracias á sus maestros por la constante aplicación y esmero en haber contribuido con sus superiores…</t>
  </si>
  <si>
    <t>Gals</t>
  </si>
  <si>
    <t>…as escuelas protestantes de su distrito, y principalmente las de la baja Lusacia. ALEMANIA. Hambarqo 20 de Febrero. El Rey de Suecia ha perdonado al teniente general Srnfield y al coronel Gals, condenados á pena capital por el tribunal supremo de Cristíania. Lúe-</t>
  </si>
  <si>
    <t>Gamboa, Manuel Fernandez</t>
  </si>
  <si>
    <t>Manuel Fernandez Gamboa</t>
  </si>
  <si>
    <t>…lugar en derecho. Por el presente se cita, llama y emplaza á Doña María de las Mercedes Valdes, para que en ei preciso y único término de tercero dia comparezca en el juzgado del Sr. D. Manuel Fernandez Gamboa, del Consejo de S. M., alcalde de su Real casa y corte, y por la escribanía de provincia de D. Valdomero Moraleda, á practicar cierta declaración que le está mandado por providencia de dicho señor de 2 i de Agosto próximo pasado; con apercibimiento que de no…</t>
  </si>
  <si>
    <t>…para que pueda usar la condecoración de la flor de Lis con que le ha agra ciado S. M. Cristianísima por su fidelidad y amor á la augusta casa de los Borbones. Por providencia del Sr. D. Manuel Fernandez Gamboa, del Consejo de S. M., alcalde de su Real casa y corte, de 22 de Noviembre último, refrendada del escri bano de provincia D. Valdomero Moraleda, ante quien está radicada la testamenta ría de D. Josef Ferreti y Caracciolo, y á la que solo pertenece una casa si…</t>
  </si>
  <si>
    <t>Gamboa, Segundo Fernandez de</t>
  </si>
  <si>
    <t>Segundo Fernandez de Gamboa</t>
  </si>
  <si>
    <t>…ora D. Se gundo Fernandez de Gamboa, según acredita el siguiente parte que este di rigió al coronel D. Manuel de Concha, quien le ha trasladado al Exeme. Se ñor vi rey. Part-e del teniente D. Segundo Fernandez de Gamboa. ,,En la madrugada del 27 del próximo pasado se me presentaron á esca ramucear unos cuatro rebeldes, y vista su tenacidad ine presumí que estaban sus secuaces en la inmediata barranca de Chuleo, corno en efecto se verificó, pues muy cansados de esperar la sal…</t>
  </si>
  <si>
    <t>Gamiz, Antonio de</t>
  </si>
  <si>
    <t>Antonio de Gamiz</t>
  </si>
  <si>
    <t>…ido vues tros humildes vasallos de la ciudad de Huesear.” La diputación de la ciudad de Jaén, representada por el duque de Montemar, presidente del supremo Consejo de Indias, y de D. Antonio de Gamiz, brigadier de la Real armada, y ministro del mismo Consejo, se pre sentó al Rey nuestro Señor el dia 8 de Diciembre, y el primero dijo: „Señor: La ciudad de Jaén, que tuvo la dicha de felicitar á la Reina nuestra Señora al paso por Andújar, primer pueblo de s…</t>
  </si>
  <si>
    <t>Gandarias, Josef Antonio de</t>
  </si>
  <si>
    <t>Josef Antonio de Gandarias</t>
  </si>
  <si>
    <t>…na comportacion , á D. Josef Mariano de Olañeta, doctor en ambas facultades tn la ciudad del Cuzco; á D. Juan Jo sef de Olañeta , capitán del regimiento infantería de Abaacai, y á D. Josef Antonio de Gandarias, regidor del ay untamiento de la ciudad de la Plata, en el vireinaro del Perú. Al tiempo de haberse dignadoS. M. admitir á los oficiales primero y quin to del cuerpo del ministerio de Marina del departamento de Cádiz D. Josef Ballester y D. Josef Trujillo las…</t>
  </si>
  <si>
    <t>Gangoiti, Pedro</t>
  </si>
  <si>
    <t>Pedro Gangoiti</t>
  </si>
  <si>
    <t>…compuesta de 14 láminas por el orden y método mas sencillo que prescribe la enseñanza, es critas por D. Josef Hermenegildo de Zafra, profesor de primera educación, y gra badas por D. Pedro Gangoiti. Se hallará en la librería de Gila, calle de las Carre tas, y en el almacén de papel de Bueno, calle del Carmen, á 8 cuartos cada una, y á 14 rs. el cuaderno. En ambas partes se vende papel pautado para escribir, aco modado á dichas muestras. Abecedario en me…</t>
  </si>
  <si>
    <t>Gar, Francisco</t>
  </si>
  <si>
    <t>Francisco Gar</t>
  </si>
  <si>
    <t>…nte Orti y Criado, médico de la villa de Castro del Rio, para el Marmolejo : D. Francisco Samartin, médico de número de egército, para la Elísea ó Aliseda : en el reino de Granada D. Francisco Gar cía Malo, establecido en la ciudad de Valencia, para Graena: D. Diego Rodénas, médico titular de la ciudad de Aljama, para los baños de este mismo nombre y pueblo: en la costa de Málaga á D. Juan de la Monja, médico ti tular de Pedraza de la Sierra, para Arda…</t>
  </si>
  <si>
    <t>Gar, Josef</t>
  </si>
  <si>
    <t>Josef Gar</t>
  </si>
  <si>
    <t>&lt;&gt;4 tendido, y dispondréis lo necesario para su cumpHmíento.:=Rubrícado de la Real mano de S. M. en Palacio á n de Enero de 1817. = A D. Josef Gar cía León y Pizarro.” En virtud de providencia del Sr. D. Joaquín de Almazan, del Consejo de S. M., teniente de corregidor de esta villa, dictada á consecuencia de la comisión conferida por la suprema junta de reintegros de bienes confiscados por el Gobierno i…</t>
  </si>
  <si>
    <t>Gar, Juan</t>
  </si>
  <si>
    <t>Juan Gar</t>
  </si>
  <si>
    <t>…n honores en el Real y supremo de Castilla, alcalde decano de la Real casa y corte, se ha servido señalar el miér coles 28 del corriente á las 12 de su mañana en la escribanía del Sr. D. Juan Gar rido, al cargo de su habilitado, para el nuevo remate de dos casas, la una sita en la calle de Jacometrezo, que vuelve á las de la Salud y Tres Cruces, num. 1 de la inanz. 353 , tasada en 1.645185 rs., y la otra inmediata núm. 2, tasada en 189333 rs&lt;; dan por…</t>
  </si>
  <si>
    <t>Garai, Martin de</t>
  </si>
  <si>
    <t>Martin de Garai</t>
  </si>
  <si>
    <t>447</t>
  </si>
  <si>
    <t>…mes, se ha servido aprobar la presentación que ha hecho el ayuntamiento de la ciudad de Badajoz de dos oficios de regidor perpetuos que le pertenecen en favor de los Excmos. Sres. D. Martin de Garai y D. Juan Lo zano de Torres, secretario de Estado y del despacho de Real Hacienda el primero, y consejero de Estado y secretario del despacho universal de Gra cia y Justicia el segundo, para que los posean en propiedad, sus hijos, he rederos y sucesores. El comisario de g…</t>
  </si>
  <si>
    <t>Gárate, Juan Josef</t>
  </si>
  <si>
    <t>Juan Josef Gárate</t>
  </si>
  <si>
    <t>…l D. Félix Calleja la gran cruz de Isabel ia Católi ca; al tesosero de egército D. Rafael García de Pizarro cruz de comendador en la misma orden ; y cruces de caballeros en ella á D. Juan Josef Gárate, presbítero; ai brigadier D. Andrés de la Rúa; ai capitán de fragata D. Ma nuel González de la Vega ; á D. Eusebio García , capitán de patriotas distin guidos de Méxicio; á D. Antonio García Jurado; al teniente de navio Don Félix Gastambide ; al teniente coro…</t>
  </si>
  <si>
    <t>Gárate, Tadeo</t>
  </si>
  <si>
    <t>Tadeo Gárate</t>
  </si>
  <si>
    <t>Gaceta de Madrid n.º 16</t>
  </si>
  <si>
    <t>…adrid 11 de Enero de 1817. Atendiendo S. M. á la fidelidad y relevantes méritos y servicios del go bernador intendente de la provincia de Puno, en el Perú, y honorario de egéreito D. Tadeo Gárate, se ha servido, por su Real decreto de 9 de No viembre último, concederle la cruz de caballero de la Real orden americana de Isabel la Católica. En virtud de Real facultad se han mandado sacar nuevamente á pública subasta por término de 15 días, contados desd…</t>
  </si>
  <si>
    <t>Garay, Martin</t>
  </si>
  <si>
    <t>Martin Garay</t>
  </si>
  <si>
    <t>…„Por mi Real decreto de 23 de Diciembre del año próximo pasado tuve á bien encargar el despacho interino de mi secretaría de Estado de Hacienda á mi consejero de Estado honorario D. Martin Garay; y para darle ahora una prueba de lo satisfecho que me hallo de su buen desempeño , he venido en conferirle dicha secretaría en propiedad. Tendréislo entendido, y dispon dréis su cumplimiento. =Palacio 29 de Enero de 1817.= Rubricado de la Real mano de S. M.…</t>
  </si>
  <si>
    <t>Garay, Martin de</t>
  </si>
  <si>
    <t>Martin de Garay</t>
  </si>
  <si>
    <t>…restablezca la confianza que tanto deseo. Tendreislo entendido, y dispondréis lo conveniente á su cumplimien to. = Rubricado de la ReaL mano.= Palacio 24 de Febrero de. 1817. = A Don Martin de Garay.” En el juzgado que hoy regenta el Sr. D. León de la Cámara Cano, del Consejo de Si M., teniente primero, y corregidor interino de esta villa, se hallan pendien tes los autos de concurso ó dimisión de bienes que hizo Carlos Josef Lortnzini, de.</t>
  </si>
  <si>
    <t>…s pañoles.” En seguida tuvo la honra el mismo comisionado de felicitar al Sermo. Se ñor Infante D. Cárlos con igual motivo. ARTICULO DE OFICIO. Circular del Consejo Real. El Excmo Sr. D. Martin de Garay, Secretario de Estado y del Despa cho de Hacienda, ha comunicado al Consejo, por medio de su Presidente el Excmo. Sr. Duque del Infantado, la Real orden que dice asi: „EL Rey nuestro Señor, á consulta del Consejo de Hacienda en Junta de Comercio y Moneda, y á…</t>
  </si>
  <si>
    <t>…Tendráse enten dido en la'Cámara., y se le expedirán los despachos correspondientes.’’ Circular de la junta de Comercio y Moneda. Con fecha de 29 del mes próximo pasado el Excmo. Sr. D. Martin de Garay ha trasladado al consejo de Hacienda en sala de gobierno y junta ge neral de Comercio y Moneda la Real órden, que con la misma fecha ha co municado ai Excmo. Sr. duque Presidente del Real Consgo, y es del tenor ■siguiente: Habiendo dado cuenta al Rey de lo ex…</t>
  </si>
  <si>
    <t>…o á VV. SS. de Real orden para su cumplimiento.’' Y la trasladamos á V. para que le tenga como corresponde, dándonos aviso de su recibo. Madrid 27 de Julio de 1817. 2. a El Excmo. Sr. D. Martin de Garay con fecha 15 del actual nos dice de Real orden lo siguiente : ,, Enterado el Rey de la exposición de VV. SS. de 17 de Julio último, en que preguntan si las dos terceras partes de■ jubilación concedidas á D. Ni colás Guendica, administrador general últimamente…</t>
  </si>
  <si>
    <t>…tiempo de sus contratas. „Tendreislo entendido, y lo comunicareis á quienes corresponda para su cumplimiento,=Señalado de la Real mano. = En Palacio á 5 de Noviembre de 1817. = A D. Martin de Garay.” Artículo comunicado por la primera Secretaría de Estado. La aparición de la peste en Argel y en otros puertos y poblaciones in ternas de la misma regencia alarmó justamente á todos los Gobiernos fronrerizos de aquella parte de Africa y á los demas de la Eur…</t>
  </si>
  <si>
    <t>…corazón se propone. Tendreislo entendido, y jo comunicareis á quien corresponde para su cumplimiento. = Señalado de ]a Real mano de S. M. = En Palacio á 5 de Noviembre de 1817.= A Don Martin de Garay.” ?. 2.0 ,,Uno de los ricos dones con que la divina Providencia favoreció el suelo español, y hizo admirable su feracidad desde los tiempos mas remotos hasta es tos dias, son los excelentes vinos que se producen en casi todas las provin cias de su vasto terri…</t>
  </si>
  <si>
    <t>Garcé, Mariano</t>
  </si>
  <si>
    <t>Mariano Garcé</t>
  </si>
  <si>
    <t>…7 de Marzo. El dia 22 de Enero tuvieron la honra de felicitar á S. M., en nombre de la ciudad de Barbastro, el Excmo. Sr. marques de Ayerbe, y el brigadier de los Reales egercitos D. Mariano Garcé$*en los términos siguientes: „ Señor: La M. N. ciudad de Bárbastro, tan antigua como leal á la augusta casa de los Borbones, llena de la mas profunda veneración y respeto llega hoy por nuestras voces á felicitar á V. M, por su efectuado enlace con la Reina nu…</t>
  </si>
  <si>
    <t>Garcés, Lucas Vázquez</t>
  </si>
  <si>
    <t>Lucas Vázquez Garcés</t>
  </si>
  <si>
    <t>…ra á D. Antonio Madoiell y Cas tillo: para la de Monteagudo á D. Mariano Beaumont y Bretón: para la dé Mombeltran á D. Diego Cisneros Valencia: para la de Villanueva del Fres no á D. Lucas Vázquez Garcés: para la de Monremayor, en Castilla, á D. Josef Urbano Sancho; y para la de Bodonal á D. Josef de Acha. El Rey nuestro Señor se ha servido conceder á D. Josef Luaces y Pru no, maestrante de Ronda, su Real permiso para que pueda usar de la con decoración de la…</t>
  </si>
  <si>
    <t>Garcés, Martin Gil y</t>
  </si>
  <si>
    <t>Martin Gil y Garcés</t>
  </si>
  <si>
    <t>…eres marques de Sta. Cruz de Rivadulla; D. Pedro de la Cuesta; D. Ciríaco de Llano; D. Juan Josef Olazabal; á D. Juan Hernández de Alba, oidor de la au diencia de Puerto-Príncipe; D. Martin Gil y Garcés, deán de la catedral de Valladolid de Mechoacan; al capitán de navio D. Juan Jacinto de Vargas; D. Antonio Julián Alvarez, oidor de la audiencia de Puerto-Príncipe; Don Mariano Ruiz de Navainuel, dignidad de la catedral de Chile; D. Francisco Pablo Vázquez ,…</t>
  </si>
  <si>
    <t>García, Andrés</t>
  </si>
  <si>
    <t>Andrés García</t>
  </si>
  <si>
    <t>…ombre de la ciudad de Mondoñedo, los Sres. D. Ramón Pardo Montenegro, coronel de milicias, caballero de la Real y distinguida orden de Carlos m , y regidor perpetuo de la misma, y D. Andrés García, ministro honorario del Consejo supremo de la Cámara de Castilla, y arce diano de Vivero; con cuyo motivo dijo el primero lo que sigue : ,, Señor: La ciudad de Mondoñedo, de voz y voto en cortes, que en to dos tiempos y ocasiones no perdonó medios ni sacrific…</t>
  </si>
  <si>
    <t>García, Bernardo</t>
  </si>
  <si>
    <t>Bernardo García</t>
  </si>
  <si>
    <t>…uiso también repartir con su propia mano estas honoríficas dis tinciones del saber y de la aplicación , colocándolas en el pecho de los si guientes beneméritos: D. Joaquín Cañedo, D. Bernardo García, D. Bernar do Cadenas, D. Agustín Bermejo, D. Tomas Perez, D. Blas Cadenas, Don Juan García, D. Manuel Ribera, D. Máximo y D. Joaquín Vargas, Don Felipe Crespo, D. Francisco Canillas, D. Pedro Miguel, D. Genaro Sal gado, D. Cándido de la Fuente , D. Josef Gar…</t>
  </si>
  <si>
    <t>García, Donato</t>
  </si>
  <si>
    <t>Donato García</t>
  </si>
  <si>
    <t>…eal nombre, y que se publique en la gaceta para satisfacción de este interesado. Por disposición de S. R. M., á consulta de la junta de protección del museo de Ciencias naturales, D. Donato García, vice- profesor de mineraloia , empezará las lecciones públicas de este ramo en el Real estudio estalecido en el Real gabinete de Historia natural el dia 24 del corriente á las f once de la mañana, y las continuará todos los lunes, miércoles y viernes de cada…</t>
  </si>
  <si>
    <t>García, Eloy</t>
  </si>
  <si>
    <t>Eloy García</t>
  </si>
  <si>
    <t>…di cho cuerpo en el mejor estado de disciplina. Igualmente recomienda á la pa ternal beneficencia de S. M. la familia del acreditado capitán de cazadores del batallón de la Reina D. Eloy García, que el dia anterior de su muerte batid con sola su compañía en escuadrón de rebeldes. . Ocupación del puerto y fortaleza de Pampatar. El 24 de Julio se pusieron en movimiento las tropas para apoderarse de dicho pueblo, en donde los rebeldes habían recibido á…</t>
  </si>
  <si>
    <t>García, Eusebio</t>
  </si>
  <si>
    <t>Eusebio García</t>
  </si>
  <si>
    <t>…r en la misma orden ; y cruces de caballeros en ella á D. Juan Josef Gárate, presbítero; ai brigadier D. Andrés de la Rúa; ai capitán de fragata D. Ma nuel González de la Vega ; á D. Eusebio García , capitán de patriotas distin guidos de Méxicio; á D. Antonio García Jurado; al teniente de navio Don Félix Gastambide ; al teniente coronel D. Antonio Conti, y al capitán de milicias disciplinadas D. Eugenio Gurtubay. El cuerpo general de comercio de la ciud…</t>
  </si>
  <si>
    <t>García, Fernando</t>
  </si>
  <si>
    <t>Fernando García</t>
  </si>
  <si>
    <t>…ana, D. Antonio Castro, D. Toribio González, D. Santiago Alonso, D. Tomas Pardo, D. Ignacio Ojero, Don Fernando Movilla, D. Manuel Gómez, D. Francisco Rodriguez, D. Alvaro Chaves, D. Fernando García, D. Bernardino Lorenzo y D. Luis de León. El R. P. prior de Sto. Domingo demostró en un discurso que sin la reliion, virtud y buena educación no bastan las leyes á morigerar los pueblos: ). Bernardo de Choya, uno de los jóvenes alumnos, igualmente condecof ra…</t>
  </si>
  <si>
    <t>García, Francisco</t>
  </si>
  <si>
    <t>Francisco García</t>
  </si>
  <si>
    <t>…uda de D. Inocencio Sánchez, D. Manuel López de Rivas, D. Josef An gel de Santelices, Facundo Calleja, Juan Mejorada, Pedro de la Peña, Santiago Vallalado , D. Juan Miguel Alcalá, D. Francisco García de la Penilla, Juan Fer nandez, Baltasar Puebla , D. Dionisio Perez Guerra, Sebastian Bazan, D. Blas Mar tinez y D. Antonio Albo; apercibidos que si no lo hiciesen por sí ó sus legítimos representantes, ó sus herederos en el caso de haber fallecido alguno de…</t>
  </si>
  <si>
    <t>García, Francisco Rodríguez</t>
  </si>
  <si>
    <t>Francisco Rodríguez García</t>
  </si>
  <si>
    <t>…y humanista Elio Antonio, tuvieron sus egercicios de exámenes públicos, que hicieron recordar los felices dias de aquel sabio restaurador de las bellas letras en España. Su actual catedrático D. Francisco Rodríguez García, individuo de la Real academia latina ma tritense, y de otros cuerpos ilustres de la nación, bien conocido por sus pro ducciones literarias, hizo conocer de cuanto son capaces los talentos de los jóvenes españoles dirigidos con gusto y maestría, pues en solo…</t>
  </si>
  <si>
    <t>García, Gaspar</t>
  </si>
  <si>
    <t>Gaspar García</t>
  </si>
  <si>
    <t>…ando el mando de la tropa que se me reuniese de Huajuapan atacase á los enemigos establecidos en Amarit— lan, recibo el parte que incluyo á V. S. original del capitán de realistas Don Gaspar García, á quien con 80 hombres había mandado que hiciese un exac to reconocimiento de la citada gavilla, avisándome si efectivamente se había</t>
  </si>
  <si>
    <t>…ortificado segnn los informes, y en el caso contrario los sorprendiese y batiese. „ Recomiendo á V. S. las fatigas de la tropa y oficiales, y muy parti cularmente Ja actividad del capitán D. Gaspar García que desde la creación de la compañía de realistas de Izucar ha dedicado sus desvelos al mejor ser vicio del Rey, á pesar de hallarse cargado de familia. ,, Y lo traslado á V. E. para su superior conocimiento, con inclusión del parte original que menciona dich…</t>
  </si>
  <si>
    <t>García, Joaquín</t>
  </si>
  <si>
    <t>Joaquín García</t>
  </si>
  <si>
    <t>…la misma arma, y la de Cartagena de Indias á D. Juan García, sargento primero del regimiento de voluntarios de la Victoria, En España. El gobierno del fuerte de Marín en Galicia á D. Joaquín García , teniente del regimiento provincial de Tuy : la ayudantía de la plaza de Jaca á D. Matías Peralta, teniente del regimiento de infantería de Burgos, y la sexta de la de Barcelona á D. Joaquín Chivras, alférez del regimiento, de caballería de Alcántara. El emp…</t>
  </si>
  <si>
    <t>García, Joscf</t>
  </si>
  <si>
    <t>Joscf García</t>
  </si>
  <si>
    <t>732</t>
  </si>
  <si>
    <t>…de su mañana: lo que se hace saber á dichos acreedores para la concurrencia; prevenidos que de no verificarlo les parará el per juicio que haya lugar. En virtud de providencia del Sr. D. Joscf García de la Torre, del Consejo de S. M., alcalde en su Real casa y corte, refrendada del escribano de provincia Don Cárlos Rodriguez de Moya, se cita, llama y emplaza á todas y cualesquiera perso nas que tengan ínteres á los bienes que han quedado por fallecimiento…</t>
  </si>
  <si>
    <t>García, Josef</t>
  </si>
  <si>
    <t>Josef García</t>
  </si>
  <si>
    <t>320 En virtud de providencia del Sr. D. Josef García de la Torre, del Consejo de S. M., alcalde en su Real casa y corte, refrendada del escribano de provincia Don Carlos Rodríguez de Moya, se cita, llama y emplaza á todas y cualesquiera perso nas que se presuman con derecho á la inmediata sucesión del catado y…</t>
  </si>
  <si>
    <t>…na que quiera hacer postura acuda ante dicho señor y escribanía del número de O. Alejandro Gutiérrez, que se admitirán las que se hagan siendo justas. En virtud de providencia del Sr. D. Josef García de la Torre , del Consejo de S. M., alcalde en su Real casa y corte, refrendada de D. Cárlos Rodríguez de Mo ya, escribano de provincia, se cita, llama y emplaza á todos los que se crean ser acreedores á los bienes que han quedado por fallecimiento de D. Jose…</t>
  </si>
  <si>
    <t>…ecido en aquella villa , y el goce de las gracias, franquicias y exen ciones que están dispensadas por punto general á las de su clase. Por el juzgado de provincia que despacha el Sr. D. Josef García de la Torre, del Consejo de S. M., alcalde en su Real Casa y Corte, y escribanía de D. Carlos Rodríguez de Moya, se ha acudido por parte de D. Ambrosio Ximenez, vecino y</t>
  </si>
  <si>
    <t>…viso de su recibo para noti cia de este supremo tribunal. Madrid 13 de Noviembre de 1817. S. M. se ha servido nombrar para la plaza de fiscal del Consejo Real y del de la Cámara á D. Josef García de la Torre, alcalde de Casa y Corte. También se ha servido conceder S. M. honores de auditor del tribunal de la Rota de la Nunciatura apostólica á D. Gabriel Anacleto García Casarubios , abad de la Real colegiata de Alabanza, dignidad de la iglesia catedral…</t>
  </si>
  <si>
    <t>…o, á fin de ponerlo en su superior noticia. Madrid 24 de Noviembre de 1817. El Ret se ha servido nombrar para la plaza de alcalde de su Real Casa y Corte, vacante por promoción de D. Josef García de la Torre á fiscal del Consejo y Cámara , á JL&gt;. Francisco Martínez de Galinsoga, oidor decano de la audiencia de Extremadura: para la de oidor de la audiencia de Galicia, vacante por muerte ée D. Josef Oromí, á D. Pedro Antonio de Arroquia, oidor de la de…</t>
  </si>
  <si>
    <t>García, Josef de Jesús</t>
  </si>
  <si>
    <t>Josef de Jesús García</t>
  </si>
  <si>
    <t>…ndose mí tropa en va rios destinos, tuve noticia que una partida de enemigos regresaba de las tro pas dei Rey á la Marina. En aquel instante hice montar 23 hombres y ios tenientes D. Josef de Jesús García y D. Guadalupe Charles, dirigiéndome con ellos al parage de la Enfermería, donde á pocos instantes ataqué la partida, que fue derrotada, logrando hacerles un oficial y cuatro soldados muertos, y prisioneros el capitán italiano Domingo Andrecis, al teniente americano Juan Hutechimon…</t>
  </si>
  <si>
    <t>García, Josef María</t>
  </si>
  <si>
    <t>Josef María García</t>
  </si>
  <si>
    <t>…terminado saliesen cinco partidas, la una por el sur, al mando del capitán de Celaya D. Agus tín Barros con el teniente D. Juan Canalizo y 30 infantes, por el norte al subteniente D. Josef María García con 20, por el oriente al subteniente Don Vicente Canalizo con 8 , por el poniente al teniente D. Manuel de Ja Llata con D. Manuel y D. Miguel Vázquez, 10 de los realistas de estos y 5 dragones del Príncipe, y por el nordeste al portaguión del Príncipe D. Man…</t>
  </si>
  <si>
    <t>García, Juan</t>
  </si>
  <si>
    <t>Juan García</t>
  </si>
  <si>
    <t>…de Cunaaná á D. Melchor Hidalgo, teniente de infantería: la capitanía de llaves del Callao de Lima á D. Juan Rodríguez, subteniente de la misma arma, y la de Cartagena de Indias á D. Juan García, sargento primero del regimiento de voluntarios de la Victoria, En España. El gobierno del fuerte de Marín en Galicia á D. Joaquín García , teniente del regimiento provincial de Tuy : la ayudantía de la plaza de Jaca á D. Matías Peralta, teniente del regimien…</t>
  </si>
  <si>
    <t>…cación , colocándolas en el pecho de los si guientes beneméritos: D. Joaquín Cañedo, D. Bernardo García, D. Bernar do Cadenas, D. Agustín Bermejo, D. Tomas Perez, D. Blas Cadenas, Don Juan García, D. Manuel Ribera, D. Máximo y D. Joaquín Vargas, Don Felipe Crespo, D. Francisco Canillas, D. Pedro Miguel, D. Genaro Sal gado, D. Cándido de la Fuente , D. Josef García Vázquez , D. Aquilino Lu nar, D. Pedro Gómez, D. Celedonio Casado, D. Vicente Berdion ,…</t>
  </si>
  <si>
    <t>García, Matías</t>
  </si>
  <si>
    <t>Matías García</t>
  </si>
  <si>
    <t>…e Grima y D. Fernando Sancristobal, el primero abrió el acto pidiendo el permiso al público en una canción, y los dos segundos siguieron con otros versos alusivos al mismo efecto. D. Matías García , D. Manuel Gil, D. ¿Antonio Cubero, D. Vicente Grima, D. Josef La justicia, D. Francisco Gil y D. Ramón Bosquet trata ron extensamente de todos los rudimentos, en lo cual, aunque acreditaron to dos su aplicación y adelantamiento, sin embargo sobresalió entre…</t>
  </si>
  <si>
    <t>García, Miguel Calvo</t>
  </si>
  <si>
    <t>Miguel Calvo García</t>
  </si>
  <si>
    <t>…en metálico y el resto en vales. Las personas que quieran hacer mejora hasta dicho dia, ó en el acto del remate, acudan ante el expresado señor juez por la escribanía de cámara de D. Miguel Calvo García. Compendio del año de 1817 compuesto de varias tablas, por las que se encuen tra todo lo mas necesario de saberse en él, dividido en dos partes. La primera con tiene los cinco retratos de los Reyes nuestros Señores y Serinos. Sres, Infantes; las épocas mas cé…</t>
  </si>
  <si>
    <t>…o separadas. Las personas que quieran hacer postura acudan dentro del término asignado ante el referido señor juez comisionado por la escribanía de cáma ra de Ja sala del cargo de D. Miguel Calvo García. Nota. En la gaceta núrn. 67 del jueves 5 del corriente, pág. 576, lín. 3 , don de dice de medicina &amp;c., léase de medicina jD. Manuel Damian Perez. EN LA IMPRENTA REAL.</t>
  </si>
  <si>
    <t>…lón, y se venden juntas y no separadas. Las personas que quieran hacer postura acudan ante el expresado señor juez comisionado por la escribanía de cáma ra de la sala del cargo de D. Miguel Calvo García. Clave historial del limo. P. Miro. Fr. Henrique Florez , corregida y añadida: décimasexta edición. Se hallará con las demas obras del autor en la portería del convento de S. Felipe el Real de esta corte. EN LA IMPRENTA REAL.</t>
  </si>
  <si>
    <t>…er postura á dichas posesiones juntas, y no separadas, acudan dentro de dicho término ante el expresado señor juez co misionado por la escribanía de cámara de la Sala del cargo de D. Miguel Calvo García, A voluntad de su dueño se venden diferentes bienes raíces consistentes en tér mino de la villa de Valdemoro, á saber: una viña en el sitio de Valdelaunquera, linde con tierra de Ambrosio Cabello y la vereda que va á Valdelaunquera, de ca ber 8 aranzadas y 10…</t>
  </si>
  <si>
    <t>García, Rafael</t>
  </si>
  <si>
    <t>Rafael García</t>
  </si>
  <si>
    <t>…Juan Manuel Mico Cagigas ; en primera clase IX Ramón de 1&amp; Carrera Estrada y D. Claudio Ruiz de Eguilaz y Peredo ; en segunda Don Juan Hernando y IX Gaspar de Rivas , yen tercera D. Rafael García y D. Domingo Rogi; pues otros que habían acreditado su aplicación , se les es timuló á continuar en ella, á fin de merecer en el-siguiente año ser premiados.» León 12 de Junio * Bien persuadida la Real sociedad de esta capital de que la- mendicidad,, compañera, siempre ¡de la…</t>
  </si>
  <si>
    <t>García, Ramón</t>
  </si>
  <si>
    <t>Ramón García</t>
  </si>
  <si>
    <t>…n una compañía y dos guerrillas de á 20 hombres; por la izquierda marchó el te niente coronel D. Casimiro Hoyos con la invencible de granaderos, y por el centro el sargento mayror D. Ramón García con otra de fusileros ,con orden de que luego que rompiese el fuego avanzasen todos precipitadamente stbre el campamento de Camargo. A las cuatro y cuarto de ella , dada por mí la señal, comenzó un fuego</t>
  </si>
  <si>
    <t>…rda. El golpe sobre esta parte fue el mas denodado que se ha visto, llegando á las manos de nuestra caballería con un ímpetu inexplicable; pero el comandante de escuadrón del pais D. Ramón García lo contuvo y dio lugar á que el teniente coronel sargento mayor de húsares D. Diego Arago nés lo envolviese, causándole una pérdida considerable. Continuaron con la mayor tenacidad las cargas de la caballería enemiga rechazadas todas bizar ramente por la nues…</t>
  </si>
  <si>
    <t>…ña del pais y estaban mal montados, supo sacar de ellos cuanto fruto podía esperarse, y dio nuevas, pruebas de su bizarría y activi dad, bien conocidas: al comandante de escuadrón D. Ramón García por ia valentía con que contuvo al enemigo en sus primeros golpes: al capitán co mandante de carabineros D. Ramón Cifuentes, que se portó con la serenidad que acostumbra: al capitán graduado de artillería ayudante del estado ma yor D. Sebastian Diaz; y al cap…</t>
  </si>
  <si>
    <t>García, Remigio</t>
  </si>
  <si>
    <t>Remigio García</t>
  </si>
  <si>
    <t>…spuestas entre los mismos discípulos, que duró una hora, resultando ser los mas aventajados y dignos del premio en la primera clase D. Juan Diez, D. JosefGonzález, seminaristas, y D. Remigio García, natural de este sitio : en la segunda D. Josef Tejada , natural de Madrid, D, Eladio Ra mos , seminarista , y D. Cárlos Larravide, de este sitio: en la tercera los se minaristas D. Juan Sánchez Rubio, D. Ramón Pintor y D. Policarpo Gon zález, á quienes distr…</t>
  </si>
  <si>
    <t>García, Segundo</t>
  </si>
  <si>
    <t>Segundo García</t>
  </si>
  <si>
    <t>…sidere interesado á Jos referidos bienes, para que dentro del tér mino de un mes comparezcan en dicha suprema junta, y por la escribanía de cámara de la misma, que está á cargo de D. Segundo García, á exponer y pedir lo que les convenga en los enunciados autos, pues de no verificarlo les parará el perjuicio que haya lugar. Ante el Sr. D. Joaquín Almazan, del Consejo de S. Íyír, y teniente corregi dor de esta villa, pende reclamación de la priora y relig…</t>
  </si>
  <si>
    <t>García, Ventura</t>
  </si>
  <si>
    <t>Ventura García</t>
  </si>
  <si>
    <t>…gencia que pasados sin haberlo hecho se dará en dichos autos la providencia qtte corresponda, y les parará el perjuicio que haya lugar. A instancia de Doña María Herrero, viuda de D. Ventura García, vecina de esta corte, en los autos que penden en el Consejo Real y escribanía de cámara del cargo de D. Valentín de Pinilla, sobre validación del testamento otorgado por Don Antonio Sanz, vecino que fue también de esta corte, en 5 de Abril de 177/, y nu lida…</t>
  </si>
  <si>
    <t>García, Vicente</t>
  </si>
  <si>
    <t>Vicente García</t>
  </si>
  <si>
    <t>…y ademas las mesadas que pagan los discípulos, y otros emolumentos indefec tiblemente anejos. Los pretendientes dirigirán sus memoriales y demas documentos de su pretensión al Dr. D. Vicente García, cura de la misma parroquial, francos de porte, en el término de 60 dias, contados desde 15 del corriente; en inteligen cia que dicha preceptoría ha de ser por oposición , censura, graduación, suficiencia, habilidad y demas circunstancias que adornen al prete…</t>
  </si>
  <si>
    <t>Garcilaso, Julián de Diego Martín</t>
  </si>
  <si>
    <t>Julián de Diego Martín Garcilaso</t>
  </si>
  <si>
    <t>…lenturas conocidas por tercianas, ya be nignas ó malignas, sin quina, sino en las perniciosas, y del dolor de costado espu rio ó legítimo: compuestos estos dos tratados por el Dr. D. Julián de Diego Martín Garcilaso de la Vega. Se hallarán á 2 rs. cada uno en la librería de Hurtado, calle de las Carretas, y en el puesto de Hermoso en dicha calle. Exposición compendiosa de los caracteres de la verdadera religión , por el R. P. Gerdil, traducida por D. Josef Miguel de Alea…</t>
  </si>
  <si>
    <t>Garfia, Pedro</t>
  </si>
  <si>
    <t>Pedro Garfia</t>
  </si>
  <si>
    <t>…, y D. Antonio Rodríguez Ferrer, de Moron : en sintaxis, prosodia y arte métrica D. Benito de Salas y Vida! y D. Luis García Monge, ambos de Lebrija: en rudimentos D. Juan Fayula, D. Pedro Garfia, D. Pablo Pavón, D. Juan de Quintaniila, D. Francisco Xavier Morales, D. Rafael Muñoz, todos de Lebrija, y D. Francisco de Paula González y Peña, de Sanlucar de Barrameda : en gramática castella na D. Josef Perez de la Torre de las montañas de Santander, y D.…</t>
  </si>
  <si>
    <t>Gargollo, Luis</t>
  </si>
  <si>
    <t>Luis Gargollo</t>
  </si>
  <si>
    <t>…os A los Sres. D. Marcos Francisco Rivas, presbítero, domiciliado en Cara cas ; D. Nicolás Blanco; D. Miguel García Carrasquedo; D. Francisco Es cudero; D. Ildefonso Ruiz del Rio; D. Luis Gargollo; D. Josef López del Diestro ; D. Andrés Marzan; D. Juan Miguel de Lostra; D. Antonio Fajar do; D. Tomas Urrutia; D. Josef Xavier de Zuluaga y D. Josef de Veamurguía, individuos de la junta de reemplazos establecida en Cádiz; D. Josef Miguel Formento, coronel…</t>
  </si>
  <si>
    <t>Garnier</t>
  </si>
  <si>
    <t>332</t>
  </si>
  <si>
    <t>…n y el plantío de las patatas. Se han enviado muchos egemplares á los prefectos para que pro curen extender entre los labradores el conocimiento de estas útiles instruc ciones. El conde Garnier, par de Francia, individuo de la academia de las ins cripciones y bellas letras, ha leído en una de las sesiones de dicha academia una memoria muy curiosa sobre el valor de las monedas griegas y romanas, la cual aclara un punto de historia que ha sido por muc…</t>
  </si>
  <si>
    <t>Garrido, Juan</t>
  </si>
  <si>
    <t>Juan Garrido</t>
  </si>
  <si>
    <t>4S Real y supremo de Castilla, alcalde decano de la Real casa f corte, y escribanía de provincia del Sr. D. Juan Garrido al cargo de su habilitado, se están subastan do dos casas en esta corte en la manz. 353 , la una hace fachada á la calle de Jácometrezo, y vuelve á las de la Salud y Tres Cruces, señalada con el níim. i.°, co* 12509 pies de sitio, tasada en 1.645185 rs.: y 1a…</t>
  </si>
  <si>
    <t>…s't &lt;Pie se venden para pago de acreedores por el juzgado del Sr. D. Tadeo Soler, del Consejo de S. M., alcalde decano de la Real casa y corte, por la es cribanía de provincia del Sr. D. Juan Garrido al cargo de su habilitado, y han sido rematadas en las dos terceras partes de su tasación en moneda metálica, y para su nuevo remate está señalado el dia 6 de Mayo próximo, á las 11 de su mañana, en dicha escribanía. La anteiglesia de Guecho, en el señorío de…</t>
  </si>
  <si>
    <t>Garrido, Ramón</t>
  </si>
  <si>
    <t>Ramón Garrido</t>
  </si>
  <si>
    <t>…álgebra D. Juan Fuertes el primero, y D. Henrique Salazar el segundo: en la de aritmética el tercero D. Manuel Velasco : en la de dibujo y arquitectura D. Benito Campo el primero, D. Ramón Garrido el segundo, y D. Amtonio Msnglano el tercero; y á Lorenzo lbañez, cabo del regimiento de caballería del Infan te, por el buen desempeño de su examen con respecto al corto tiempo de estudio que ha tenido, le agraciaron con una caja de lapiceros : en la de mú s…</t>
  </si>
  <si>
    <t>Gas</t>
  </si>
  <si>
    <t>…comunico á V. para su conocimiento y efectos convenientes. Dios guarde á V. mu chos años. Madrid 26 de Enero de 1817. El Rey nuestro Señor se ha servido conceder su Real permiso á D. Gas par de Osma y Trido , oidor de la audiencia de Lima, para que pueda usar la cruz y condecoración de la Lis , de que le ha hecho gracia S. M. Cristia nísima. El dia 13 del pasado falleció en esta corte á los 66 años de edad el Ex celentísimo Sr. D. Josef de Ar…</t>
  </si>
  <si>
    <t>40o El Rey nuestro Señor se lia servido conceder su Real permiso á D. Gas par de la Torre, subteniente de milicias disciplinadas de infantería de PuertoPríncipe, en la isla de Cuba, para que pueda usar de la cruz de la flor de Lis con que le ha condecorado S. M. Cristianísima. El profesor de botánica general del Museo de Ciencias D…</t>
  </si>
  <si>
    <t>Gaspar</t>
  </si>
  <si>
    <t>i32 te dos efectos contra esta villa, el uno de 30291 rs. de principal sobre la renta del tabaco, en cabeza de D. Manuel Galet, y el otro de go$ rs. en la de D. Gaspar ide Sobremonte sobre las sisas de carnecerías y aceite, perteneciente todo a la testa mentaría y ocurrencia de D. Josef Serrano. Quien quisiere hacer postura acuda por Ja audiencia de dicho señor y escribanía del número de D. Alfonso de Yévenes, que se le adm…</t>
  </si>
  <si>
    <t>Gastambide, Félix</t>
  </si>
  <si>
    <t>Félix Gastambide</t>
  </si>
  <si>
    <t>…a Rúa; ai capitán de fragata D. Ma nuel González de la Vega ; á D. Eusebio García , capitán de patriotas distin guidos de Méxicio; á D. Antonio García Jurado; al teniente de navio Don Félix Gastambide ; al teniente coronel D. Antonio Conti, y al capitán de milicias disciplinadas D. Eugenio Gurtubay. El cuerpo general de comercio de la ciudad de Zaragoza ha dirigido á S. M. la exposición siguiente: ,,Señor: La felicidad nace de la abundancia, y esta fija su…</t>
  </si>
  <si>
    <t>Gata</t>
  </si>
  <si>
    <t>…el piquete de caballería de urbanos de Toluca del car go del teniente D. Vicente González. A las 7 de la noche del 2$ del corriente salió la división de este pueblo mandada por el teniente Gata, á cuyo oficial di las competentes instruccio nes ,, previniéndole cayese indispensablemente sobre dicho campamento á las 4 de la manaña. El resultado de tan feliz jornada fue regresar la expedición llena de glo ria, participándome el comandante de ella D. Jo…</t>
  </si>
  <si>
    <t>Gata, Joaquín</t>
  </si>
  <si>
    <t>Joaquín Gata</t>
  </si>
  <si>
    <t>…E. el mérito del capitán D. Josef Fernandez de Córdoba por el zeio y actividad con que se está manejando, como también la puntualidad con que emprendieron la marcha los oficiales D. Joaquín Gata, D. Domingo Noriega y D. Vicente González, destinados á la sorpresa referida, la exactitud con que observaron las órdenes que llevaron, las dificultades que tuvieron que vencer con la tro pa de su mando, y la subida al monte sobre que se hallaba el campamen t…</t>
  </si>
  <si>
    <t>Gavaso, Juan</t>
  </si>
  <si>
    <t>Juan Gavaso</t>
  </si>
  <si>
    <t>…llos que han seguido el sendero de la glo ria, y recomiendo sus familias á la piedad y munificencia del Rey; asi como al teniente de navio D. Manuel Cañas, y al alférez de fragata D. Juan Gavaso, por los importantes servicios que han contraído, y la actividad y ener gía que tan oportunamente han desplegado.” Posteriormente ha recibido dicho Sr. secretario del Despacho el boletín del egercito expedicionario, número 36, de 14 del propio mes, del cual r…</t>
  </si>
  <si>
    <t>…e desaparecer del mar, huyendo de la escuadrilla que se formó en aquellos mares, debida á la actividad infa tigable del teniente de navio D. Manuel Cañas, y del alférez de fragata Don Juan Gavaso , segundados por las medidas enérgicas del interino capitán ge neral el brigadier D. Salvador Moxó , que con asombro de todos ha encon trado buques , hombres , pertrechos y dinero donde menos debía esperarse, y de este modo ha resarcido la falta de concurrenc…</t>
  </si>
  <si>
    <t>Gaviria, Manuel</t>
  </si>
  <si>
    <t>Manuel Gaviria</t>
  </si>
  <si>
    <t>…n 4Ó36: otra donde llaman el Prado, linde con viña de Ambrosio Cabello y con la pradera, de caber 2 aranzadas y 173 cepas, en 1946; y otra donde llaman la Loba, linde con viñas de D. Manuel Gaviria y D. Tomas de Lanzagorta, de caber 5 aranzadas y 247 cepas, en 3370 rs. y 17 mrs.: una tierra donde dicen Camino</t>
  </si>
  <si>
    <t>….: otra donde llaman el Prado, linde con viña de Ambrosio Cabello y con la pradera, de caber 2 aranzadas y 173 cepas, en 1946 rs.; y otra donde lla man la Loba, linde con viñas de D. Manuel Gaviria y D. Tomas de Lanzagorta, de caber 5 aranzadas y 247 cepas, tasada en 3370 rs* y 17 mrs.: una tierra donde dicen Camino de Fuenlabrada, con el que descabeza, su caber 2 fanegas y 4 celemi nes, tasada en 1066 rs.: un cuadrito en el mismo camino mas adelante, que le abra za tierra de D…</t>
  </si>
  <si>
    <t>Gayangos, Josef de</t>
  </si>
  <si>
    <t>Josef de Gayangos</t>
  </si>
  <si>
    <t>*i9J ESPAÑA. México 8 de Abril. Continuación de los partes de Nueva-España. Del brigadier y comandante D. Josef de Gayangos. „Excmo. Sr.: Original acompaño á V. E. el parte que desde la villa de Lagos me ha dirigido el capitán D. Manuel Campos, comandante acci dental de la división volante de esta provincia, por el que se enterará V. E. de la sorpresa que dispuso contra una partid…</t>
  </si>
  <si>
    <t>Gayo, Josef del</t>
  </si>
  <si>
    <t>Josef del Gayo</t>
  </si>
  <si>
    <t>…que á D. Josef Carrasco, alférez agregado al estado mayor de la plaza de Granada. También se sirvió S. M. conceder honores de comisario ordenador al tesorero del egército de Ceuta D. Josef del Gayo, y el empleo de comisario de guerra á D. Angel Malpeli, contralor jubilado del hospital militar de la ciudad de Palma. En América. Los empleos de teniente de Rey de la plaza de Caracas, de cabo subalterno de las provincias de Venezuela y de comandante del ba…</t>
  </si>
  <si>
    <t>Gazan</t>
  </si>
  <si>
    <t>…arques del Castelar. Por el presente se cita, llama y emplaza á Doña Marta Juana Gallardo, viuda de D. Raimundo Josef de Souza, de nación portugués, capitán en el estado mayor del general Gazan, muerto por los fancescs en esta plaza y su Rea; sitio del BuenReliro en 5 de Abril de 1813, por espía del Gobierno español , y á los parientes mas inmediatos del citado capitán, para que en el término de 30 di&lt;*s, contados desde este anuncio, acudan al juzga…</t>
  </si>
  <si>
    <t>Gaztafíaga, Martin de</t>
  </si>
  <si>
    <t>Martin de Gaztafíaga</t>
  </si>
  <si>
    <t>…honores de regidor de la misma ciudad. Tendráse entendido en la Cámara , y se dispondrá lo correspondiente á su cumplimiento. = Rubricado de la Real mano/’ Por providencia del Sr, D. Martin de Gaztafíaga , del Consejo de S. M., su al calde de casa y corte, refrendada del escribano de provincia y comisiones Don</t>
  </si>
  <si>
    <t>Gaztanaga, Martin de</t>
  </si>
  <si>
    <t>Martin de Gaztanaga</t>
  </si>
  <si>
    <t>…l facultad para dicha enagenacion; y de la persona con quien se haya de tratar darán razón en esta corte, calle del Olivo bajo, núm. 11, cuar to bajo. En virtud de providencia del Sr. D. Martin de Gaztanaga, del Consejo de S. M., su alcalde de casa y corte, refrendada del escribano de provincia D. Manuel López de Rivas, se ha mandado volver á sacar á pública subasta una casa sita en el lugar de Carabanchel de abajo, y su calle llamada Empedrada, comprensiva de 4…</t>
  </si>
  <si>
    <t>Gaztañaga, Martin de</t>
  </si>
  <si>
    <t>Martin de Gaztañaga</t>
  </si>
  <si>
    <t>5 ?2 Y lo traslado á V. S. de Real orden para su puntual cumplimiento. Dios guarde á V. S. muchos años. Madrid io de Mayo de 1817. En virtud de providencia de 20 del presente del Sr. D. Martin de Gaztañaga, del Consejo de S. M., su alcalde de cas3 y corte, refrendada de D. Manuel López de Rivas, escribano de provincia y comisiones de la misma, y del juzgado de co mandancia de los Reales cuerpos de Artillería é Ingenieros de esta plaza, se cita, llama y emplaza…</t>
  </si>
  <si>
    <t>…ntal en gaño en los otros parages adonde arribe. En virtud de providencia del Sr. D. Manuel Josef de Arbizu, del Consejo de S. M. , su alcalde de casa y corte, que en ausencia del Sr. D. Martin de Gaztañaga, igual alcalde de casa y corte, despacha su audiencia, refrendada de D. Manuel López de Rivas, escribano de provincia y comisiones, y del juzgado de comandan cia de los Reales cuerpos de Artillería é Ingenieros de esta plaza, se ha mandado volver á sacar á pu…</t>
  </si>
  <si>
    <t>…asistir y votar. En virtud de providencia de 15 del corriente mes del Sr. D. Manuel Josef de Arbizu, del Consejo de S. M., su alcalde de casa y corte , que en ausencia del Se ñor D. Martin de Gaztañaga, igual alcalde de casa y corte , despacha su audiencia, refrendada de D. Manuel López de Rivas, escribano de provincia y comisiones, y del juzgado de comandan. de los Reales cuerpos de Artillería e Ingenieros de es ta plaza , se ha mandado volver á sacar al p…</t>
  </si>
  <si>
    <t>Gaztañaga, Mirtín de</t>
  </si>
  <si>
    <t>Mirtín de Gaztañaga</t>
  </si>
  <si>
    <t>…. en el despacho de la imprenta Real. Se suscribe en dicho despacho, y en las provincias en todas las ad ministraciones principales y agregadas de correos. En el juzgado civil del Sr. D. Mirtín de Gaztañaga, del Consejo de S* M., su alcalde de casa y corte, y escribanía de provincia y comisiones de D. Manuel Ló pez de Pavas, se halla radicada la testamentaría del difunto D. Josef García Serra no, vecino y agente del numero de Indias que fue en esta corte; á su v…</t>
  </si>
  <si>
    <t>Gea, Francisco</t>
  </si>
  <si>
    <t>Francisco Gea</t>
  </si>
  <si>
    <t>…o tuve lugar de llegar con oportunidad, por distar cuatro leguas de este punto. ,,En la noche del propio dia con los oficiales de este cuerpo capitanes D. Josef Antonio de Arcega, D. Francisco Gea , D. Juan Cruz de Ansa, teniente D. Mariano Ribera , y subtenientes D. Francisco de Landa , D.Josef Manuel Mateos y D. Juan de Ansa, salí con 106 infantes y 27 caballos er&gt; busca de la chusma y de cualesquiera otra que pudiera auxiliarlos. Subí á los llanos d…</t>
  </si>
  <si>
    <t>Genarés, Josef Francisco</t>
  </si>
  <si>
    <t>Josef Francisco Genarés</t>
  </si>
  <si>
    <t>^ T 17, D. Joaquín Albert y Cortina: Es perjudicialísimo á la prosperidad publi ca el lujo de ostentación. D. Josef Francisco Genarés: Para que el impuesto sea menos perjudicial debe ser lo mas moderado posible en cuanto á su cuota, y que alcance á to dos con igualdad proporcional. D. Bartolomé Suñol y Bulbena: Un estado como la España no puede prosperar sin la libertad de su comercio inter…</t>
  </si>
  <si>
    <t>Gerardo</t>
  </si>
  <si>
    <t>…alle de las Carretas. Triunfos de la verdadera religión contra los extravíos de la razón, obra del conde de Valmont, parte 1.a y 2.a, cartas recogidas y publicadas por su autor el Sr. Gerardo, canónigo de S. Luis de Louvre, en cinco tomos en 4.0, traducidas del francés por el R. P. Fr. Clemente Millana. Se venden en la librería de Míllana , frente á la casa de postas, á 85 rs. en pasta y 65 á la rústica, y se dan sueltos el tomo 4° y 5° Compendio…</t>
  </si>
  <si>
    <t>Germán, Antonio S.</t>
  </si>
  <si>
    <t>Antonio S. Germán</t>
  </si>
  <si>
    <t>…ersona que pueda dar alguna noticia lo haga en Madrid á Doña Elena Doria, calle de Mira el Rio, núm. 5 ; á D. Josef Ciavijo y Alba, calle de Capellanes, núm. 3 , y en .Barcelona á D. Antonio S. Germán , catedrático de cirugía médica, ó á D. Josef Capdeviia, cirujano del Real cuerpo de Ar tillería. Se halla vacante la plaza de médico de la villa de la Membrillar en la Mancha baja, y cuya población es de 800 vecinos: su dotación consiste en 900 ducados, paga…</t>
  </si>
  <si>
    <t>Gertrudis</t>
  </si>
  <si>
    <t>…a Perez de Abreu, natural de la ciudad de S. Felipe y Santiago del Bejucar,por sí y en nombre de sus hijos legítimos D. Josef, D. Lorenzo, D. Antonio, Doña María de la Concepción, Doña Gertrudis, Doña María de Jesús, D. Francisco,D. Juan, D. Manuel y Dou Ramón López Perez, naturales de la Havana; y habiendo fallecido el referido su padre D. Antonio López Gómez en el mismo año de 1802 , al tiempo de estar para recoger dicho documento, habiendo dejado…</t>
  </si>
  <si>
    <t>Gervino</t>
  </si>
  <si>
    <t>…ó la tranquilidad de esta capi tal por algunas horas, habiendo sido la causa de elio la tripulación de un buque mercante de Genova, que tenia pabellón ruso , y estaba al mando del capitán Gervino. Una lancha de este buque, en la cual iban algunos mari neros embriagados sin duda, tropezó cerca del embocadero con una canoa turca,cuyo remero cayó al agua. Aunque le salvaron inmediatamente sus ca maradas, no dejó de trabarse una pendencia entre los marine…</t>
  </si>
  <si>
    <t>Gi, Vicente</t>
  </si>
  <si>
    <t>Vicente Gi</t>
  </si>
  <si>
    <t>…es principales y agregadas de correos. Por providencia del Excmo. Sr. D. Francisco de Eguía, capitán general de esta provincia de Castilla la Nueva, en consecuencia de despacho de D. Vicente Gi rón Villamandos, alcalde mayor de la ciudad del Puerto de Santa María, se ci ta, llama y emplaza por tercera y última vez á D. Francisco y D. Antonio García Mayor de Londoíío, y á sus hijos ó descendientes legítimos, llamados á la sucesión del vínculo que fun…</t>
  </si>
  <si>
    <t>Gibelin</t>
  </si>
  <si>
    <t>…dia Real que se cu brió de gloria en las Tuberías el 10 de Agosto de 1792 , y que viven en el día, son el feld-mariscal barón de Salís-Ziziers, el coronel Ant. Glutz , el teniente coronel Gibelin, el mayor Zimmerman, F. de Luze, Ign. de j\laillardoz, Constant de Rebecque (en el aia al servicio de Holanda), de la Corbierre, Deville y Vaudois. Las reclamaciones de los regimientos suizos que estaban al servicio piamontes ascienden por el regimiento de Be…</t>
  </si>
  <si>
    <t>Giiitian</t>
  </si>
  <si>
    <t>…. México 29 de Marzo, Continuación de los partes de Nueva-España. Oficio del coronel D. Benito Arruinan. „ Excmo. Sr.: Paso á V. E. el adjunto parte original que me ha dirigido el comandante Giiitian , por el cual se impondrá V. E. de las ventajas que han conseguido las ultimas expediciones destinadas á la persecución de los re beldes que hostilizan estas jurisdicciones ; habiendo logrado un resultado feliz el destacamento que operó sobre Palo Blanco el c…</t>
  </si>
  <si>
    <t>Gil, Francisco</t>
  </si>
  <si>
    <t>Francisco Gil</t>
  </si>
  <si>
    <t>…una canción, y los dos segundos siguieron con otros versos alusivos al mismo efecto. D. Matías García , D. Manuel Gil, D. ¿Antonio Cubero, D. Vicente Grima, D. Josef La justicia, D. Francisco Gil y D. Ramón Bosquet trata ron extensamente de todos los rudimentos, en lo cual, aunque acreditaron to dos su aplicación y adelantamiento, sin embargo sobresalió entre todos Don Josef Lajusticia. En la sintaxis D. Antonio Bueno, D. Felipe Grima, Don Mariano Laplana, D. Mariano Ma…</t>
  </si>
  <si>
    <t>Gil, Francisco Taboada y</t>
  </si>
  <si>
    <t>Francisco Taboada y Gil</t>
  </si>
  <si>
    <t>…o general en gefe^que fue del sexto egército de operaciones, ha recurrido á S. M. solicitando una cruz de distinción para las tropas de la división del mando del mariscal de campo Don Francisco Taboada y Gil por el mérito que contrajeron el dia io de Agosto de 1810, recobrando la plaza de la Puebla de Sanabria, y haciendo prisio nera de guerra toda su guarnición; y habiendo pasado esta instancia de Real orden á la junta de nuevas condecoraciones militares, confor…</t>
  </si>
  <si>
    <t>Gil, Juan Manuel</t>
  </si>
  <si>
    <t>Juan Manuel Gil</t>
  </si>
  <si>
    <t>…a se proveerá, previo examen, en concurso de opositores, que se ha de hacer en el próximo mes de Junio de este año. Los pretendientes podrán dirigir sus memoriales por Vaimaseda á D. Juan Manuel Gil, cura beneficiado del lugar de Villasuso, en el mismo valle. Theologia moralis D. Augustini &amp;c., por el P. Mtro. Fr. Antonio Guerrero, de la orden de S. Agustín; tres tomos en folio menor. — Egercicios espirituales del mismo: un tomo en 8.°= Clave geográfica…</t>
  </si>
  <si>
    <t>Gil, Manuel</t>
  </si>
  <si>
    <t>Manuel Gil</t>
  </si>
  <si>
    <t>…do Sancristobal, el primero abrió el acto pidiendo el permiso al público en una canción, y los dos segundos siguieron con otros versos alusivos al mismo efecto. D. Matías García , D. Manuel Gil, D. ¿Antonio Cubero, D. Vicente Grima, D. Josef La justicia, D. Francisco Gil y D. Ramón Bosquet trata ron extensamente de todos los rudimentos, en lo cual, aunque acreditaron to dos su aplicación y adelantamiento, sin embargo sobresalió entre todos Don Josef…</t>
  </si>
  <si>
    <t>Gil, Mariano</t>
  </si>
  <si>
    <t>Mariano Gil</t>
  </si>
  <si>
    <t>…arrechea, D. Rafael Rodríguez, D. Juan de Dios Elias, los Sres. Bohe, hermanos y compa ñía, D. Mariano de Urbieia, D. Josef Uhicon, D. Ignacio Suarez, D. Francisco Antonio Abadía, D. Mariano Gil y D. Josef Vilar, últimos tenedores de 32 vales Reales, 15 de ellos de 150 pesos, creación de Enero de 1808, con los números 231689, 245110, 252506, 253818, 255204, 264499, 269131,273684, 283688, 287576, 288287, 292535, 307906, 32 1387 y 338476: seis de 300 pesos, también de…</t>
  </si>
  <si>
    <t>Gillés, Josef</t>
  </si>
  <si>
    <t>Josef Gillés</t>
  </si>
  <si>
    <t>…atendidos para su pago J segun se previene en Iteal órden de 16 de Noviembre {¡!timo. Retrato de la Sra. Doña MARrA ISABEL DE BRAGANZA I RErNA de España, copiado del esculpido por D. Josef Gillés, primer escultor de cámara, dibujado por D. Antonio Guerrero, y grabado por D. Alejandro Blanco, dedicado al REY nuestro St!Ílor, y aprobado por la Real academia de S. Fernando, en cuartilla de marca mayor, á 8 rs. en negro y 16 i lumÍnado. Se hallará en el a…</t>
  </si>
  <si>
    <t>Gimbernat, Antonio de</t>
  </si>
  <si>
    <t>Antonio de Gimbernat</t>
  </si>
  <si>
    <t>…abejas, compuesto por D. Josef Rivas, teniente del Real cuerpo de artillería: un tomo en 8.° Se hallará en la librería de Castillo. Nuevo método de operar en la hernia crural, por D. Antonio de Gimbernat, á 8 rs__ Tratado de las suturas para la mejor curación de las heridas y de su abuso, por el mismo, á 5 rs._De las úlceras de los ojos que interesan la córnea transpa rente , por el mismo , á 2 rs. Estas obras, bien conocidas, y que no necesitan mas re comend…</t>
  </si>
  <si>
    <t>Gimé, Manuel</t>
  </si>
  <si>
    <t>Manuel Gimé</t>
  </si>
  <si>
    <t>…e sobresalieron en todos Tos ramos fueron D. Demetrio Vasconi, D. Francisco Rodríguez Sánchez, D. Mariano Guerrero, D. Josef Vega Serien, D. Francisco Cívico , D. Salvador Mifsud, D. Manuel Gimé nez y D. Diego Meras. Madrid 21 de Febrero» El dia 19 del. pasado tuvo la honra de besar la Real mano de S. M. una diputación de la suprema asamblea de la Real&gt; y distinguida orden de Car los 111; en cuyo nombre dijo : „Señor: La suprema asamblea de la Real y…</t>
  </si>
  <si>
    <t>Giménez, Francisco</t>
  </si>
  <si>
    <t>Francisco Giménez</t>
  </si>
  <si>
    <t>…república , cuyo egército, que ascendía á 1800 ó 2® bandidos, fueron deshechos y dispersados en diferentes encuentros, particu larmente en el pueblo de Carupano, donde el teniente coronel D. Francisco Giménez, comandante del batallón de Clarines, les mató mucha gente, hizo prisioneros varios ge fes, y se apoderó de la artillería y armamento. El resul, tado de estas jornadas ha sido dejar en nuestro poder y limpia de malvados ia costa de Guiria,Cariaco, Rio Cariber…</t>
  </si>
  <si>
    <t>Girard</t>
  </si>
  <si>
    <t>…edro Agustín Girón, tuvieron parte activa en la feliz y sangrienta jornada de Arroyo Molinos el 28 de Octubre de 18ri, en la que quedó destruida la brillante división ene miga del general Girard, con pérdida de toda su artillería y bagages, con-</t>
  </si>
  <si>
    <t>Girón, Dámaso Megía</t>
  </si>
  <si>
    <t>Dámaso Megía Girón</t>
  </si>
  <si>
    <t>…valles de Soba, Rnesga y Villaverde á Don Manuel Tagle: para la de Baena á D. Manuel Valdés: para la de Lodosa á D. Esteban Ximenez Dorador : para la de Peñaranda de Bracamonte á Don Dámaso Megía Girón , corregidor que era de Rueda del Almirante: para la de Salas de ¡os Infantes á D. Josef Antonio Vázquez: para la de Friailiana á D. Juan Padilla y Ortiz, alcalde mayor que era de la ciudad de A /amon te : para la de Rivadavia á D. Joaquín Hernández : para la…</t>
  </si>
  <si>
    <t>Girón, Pedro Tellez</t>
  </si>
  <si>
    <t>Pedro Tellez Girón</t>
  </si>
  <si>
    <t>J J 2 A solicitud de los señores síndicos de ía testaméntala del Excmo. Sr. D. Pedro Tellez Girón, duque de Osuna, difunto, y quiebra de la casa de comercio y giro de Pedro Girón é hijo, y en virtud de providencia del juzgado de esta capitanía general de Castilla Ja Nueva, se cita y convoca á junta general á todos los acreedo res legítimos que por cualqui…</t>
  </si>
  <si>
    <t>Gispert, Antonio de</t>
  </si>
  <si>
    <t>Antonio de Gispert</t>
  </si>
  <si>
    <t>778</t>
  </si>
  <si>
    <t>…ella, distante todavía dos leguas de aquel sitio, cuyo camino anduvo (según su relación) en unos tres cuartos de hora, y dio inmediatamente parte de aquel suceso al gober nador el coronel D. Antonio de Gispert, al baile general D. Josef Pujol, y á D. Antonio Portolá, regidor decano de esta villa, quienes movidos de caridad , y zelosos por el cumplimiento de las leyes, dieron tan prontas y acertadas providencias para salvar la moribunda, enviando todos los socor ros…</t>
  </si>
  <si>
    <t>Giurovich</t>
  </si>
  <si>
    <t>336</t>
  </si>
  <si>
    <t>…es devengados. AUSTRIA. Trieste i.° de Marzo. Ha entrado últimamente en este puerto la goleta austríaca el conde de Sanrau, que ha venido de Constantinopla en 16 dias al mando del capitán Giurovich, quien fue condecorado el año pasado con la insignia civil de oro, por haber defendido en las aguas deNegroponto el pabellón imperial austría co contra tres buques de piratas, de los cuales echó á pique el uno, y los otros dos huyeron. Viena i $ de Marzo. Se…</t>
  </si>
  <si>
    <t>Gó, Casimiro Antonio</t>
  </si>
  <si>
    <t>Casimiro Antonio Gó</t>
  </si>
  <si>
    <t>…e fue de la teneduría de libros delbanco nacional de S. Cárlos, comprendidos en la dimisión que hizo de sus bienes en 9 de Enero del año de 1792 , por la escribanía del número del Sr. D. Casimiro Antonio Gó mez j y se le« hace saber que este tercer señalamiento procede de no haber concur rido á las juntas acordadas en los dos anteriores ningún acreedor, y que de verifi carse igual falta en la del 6 de Setiembre se procederá, sin mas citarles ni llamar les, á la…</t>
  </si>
  <si>
    <t>Gó, Manuel Alejo</t>
  </si>
  <si>
    <t>Manuel Alejo Gó</t>
  </si>
  <si>
    <t>…gentilhombre de cámara de S. M. &amp;c.; D. Pedro Gu tiérrez, coronel de los Reales egércitos, caballero de la orden de Santiago, secretario de S. M. con egercicio de decretos &amp;c., y D. Manuel Alejo Gó mez Meneses tuvieron á su tiempo la honra de felicitar á S. M. con el plau sible motivo del embarazo de la Reina nuestra Señora; y el primero dijo lo siguiente: ,, Señor: La villa de Aranda de Duero, una de las principales de Castilla la Vieja, capital casi d…</t>
  </si>
  <si>
    <t>…los m, gentilhombre de cámara de S. M.; D. Pedro Gutiérrez, coronel de los Reales egércitos, caballero de la orden de Santia go , secretario de S, M. con egercicio de decretos , y D. Manuel Alejo Gó mez Meneses han tenido la honra de felicitar á S. M., á nombre de la villa de Aranda de Duero, por el feliz alumbramiento de la Reina nuestra Seño ra; y el primero dijo:</t>
  </si>
  <si>
    <t>Godoy, Manuel</t>
  </si>
  <si>
    <t>Manuel Godoy</t>
  </si>
  <si>
    <t>…ar á pú blica subasta el arrendamiento de la casa esquileo que en el lugar de Tres-casas, dis tante legua y media de la ciudad de Segovia, corresponde á los bienes secuestrados de D. Manuel Godoy, la cual se compone de habitación alta y baja, con las ofici nas y utensilios correspondientes al efecto. Si alguna persona quisiere hacer postura acudirá á la comisión y contaduría del Crédito público en dicha ciudad de Segovia, donde se les enterará de las…</t>
  </si>
  <si>
    <t>Golizin, Alejandro</t>
  </si>
  <si>
    <t>Alejandro Golizin</t>
  </si>
  <si>
    <t>…lejandra regaló esta Princesa varias cajas guarnecidas de brillantes y ador nadas con su retrato á Mr. de Guriew, ministro de Hacienda; á Mr. Kosadawlew, ministro del Interior; al príncipe Alejandro Golizin , ministro in terino del Culto y de la Instrucción pública, y al general Konovinzin, mi nistro de Guerra ; y á otros personages ha regalado otras alhajas. Hasta 30 de Junio han entrado i(3&gt; buques en el puerto de Cronstadt. Hay pocos egemplos de tan gran conc…</t>
  </si>
  <si>
    <t>Golmayo, Julián Alvarez de</t>
  </si>
  <si>
    <t>Julián Alvarez de Golmayo</t>
  </si>
  <si>
    <t>…ustre ayuntamiento, y siendo espectadores un crecido número de personas de todas clases y de ambos sexos: fueron examinados por el director primer maestro de aquel establecimiento D. Julián Alvarez de Golmayo en los res pectivos conocimientos sobre los puntos siguientes: i.° leyeron indistintamen te con el mayor sentido y perfección, observando todas las notas de puntua ción: 2.0 presentaron excelentes escritos de varios tamaños, y otros que es cribieron en el act…</t>
  </si>
  <si>
    <t>Goma, Francisco Bolart y</t>
  </si>
  <si>
    <t>Francisco Bolart y Goma</t>
  </si>
  <si>
    <t>…uel Ramón de Viilachica, D. Manuel Francisco Aguirre é hijos, D. Vicente Carrasco y Fominaya, Doña Clara Ambite, Juan Antonio Morera, D. Josef Sala y Cam, D. Ig nacio de Arellana, D. Francisco Bolart y Goma, D. Josef Bruquera y Castell, Don Francisco Argel é hijos, y D. Lorenzo Carballo de Ledesma, para que en el preciso y perentorio término de 30 dias, contados desde la publicación de este aviso, com parezcan por sí ó por procurador con poder bastante al referi…</t>
  </si>
  <si>
    <t>Gómez, Antonio</t>
  </si>
  <si>
    <t>Antonio Gómez</t>
  </si>
  <si>
    <t>…cmo. Sr. = Eugenio de Villasana. = Excmo. Sr. vi rey D. Juan Ruiz de Apodaca.” Parte del comandante de armas de Tasco D. Tomas Cagigal. ,,Para proteger la molienda del trapiche de D. Antonio Gómez en el pueblo de Chontalcuatlan fijé en él un destacamento de 20 infantes realistas, al que atacaron los rebeldes del cabecilla Vargas el 4 del presente á las cin co de la mañana, cuya noticia (según las advertencias que á Gómez tenía prevenidas) me fue dada c…</t>
  </si>
  <si>
    <t>…superioridad del Ex celentísimo Sr. virey. ^,Dios guarde á V. S. muchos años. Real de Tasco Febrero 8 de 1817. = Tomas de Cagigal. = Sr. coronel D. Eugenio de Villasana.” Parte de D. Antonio Gómez. ,,A las cinco de la mañana de este dia tuvo efecto el aviso anticipado que se me dio de que la canalla estaba disponiendo venirme á atacar á este trapiche, presentándose al intento corno 100 hombres de caballería , al man do de su nombrado comandante Josef F…</t>
  </si>
  <si>
    <t>Gómez, Antonio López</t>
  </si>
  <si>
    <t>Antonio López Gómez</t>
  </si>
  <si>
    <t>…le, un despacho histórico, genealó gico y heráldico, y certificación de armas de los apellidos de López, Gómez, Ruizo, Morano, Perez , Dominguez , López y Alvarez, perteneciente á D. Antonio López Gómez, natural de Cádiz, y de su esposa Doña Manuela Perez de Abreu, natural de la ciudad de S. Felipe y Santiago del Bejucar,por sí y en nombre de sus hijos legítimos D. Josef, D. Lorenzo, D. Antonio, Doña María de la Concepción, Doña Gertrudis, Doña María de Jesú…</t>
  </si>
  <si>
    <t>Gómez, Casimiro Antonio</t>
  </si>
  <si>
    <t>Casimiro Antonio Gómez</t>
  </si>
  <si>
    <t>…275629, 277957, 278575, 308647, 333485 y 262044, que.se hallan reclama dos, para que dentro de 30 dias, contados desde esta publicación, acuda ante di cho Señor y' escribanía del Sr. D. Casimiro Antonio Gómez á decir y exponer de su derecho y justicia en la instancia de reclamación; apercibido de que no compare ciendo en dicho término se proveerá lo conveniente, y le parará el perjuicio que haraé lugar.U _ D. Juan Tizón , natural, vecino y regidor decano que fue d…</t>
  </si>
  <si>
    <t>…o, vecino que fue del lugar de Vallecas, se cita, llama y emplaza á todos los referidos acreedores, para que en el término de 30 dias se pre senten en la escribanía del número del Sr. D. Casimiro Antonio Gómez á calificar, liquidar y transigir sus respectivos créditos; con apercibimiento que pasados sin ha berlo hecho, se procederá á lo que haya lugar sin mas citarles. Memorias de agricultura y artes que publica la Real junta de comercio y artes de Cataluña: cuader…</t>
  </si>
  <si>
    <t>…an detenidos por reclamación de la Excma. Sra. Do ña María Antonia Mozo en el juzgado del Sr. D. Joaquín de Almazan , teniente corregidor de esta villa, y escribanía del número de D. Casimiro Antonio Gómez, para que dentro de 30 dias, contados desde 7 del corriente , acudan ante S. S. á de cir en este asunto lo que les convenga de su derecho y justicia, que si lo hicieren se les oirá y guardará en lo que la tuvieren; y pasado dicho término sin haber com parecid…</t>
  </si>
  <si>
    <t>Gómez, Catalina</t>
  </si>
  <si>
    <t>Catalina Gómez</t>
  </si>
  <si>
    <t>…ñares: 20935 D. Feliciano de Ochoa: 22806 D. Pedro Ormaechea: 22900 D. Gabriel Aragón; y 63835 y 66225 D. Manuel Callejo de Alba: de 600 pesos de i.° de Mayo de 1808, núms. 391730 Doña Catalina Gómez; y 412136 D. Julián Diaz: de 300 pesos de idem, niims. 477420 y 476798 Doña María Ignacia Galarza; los cuales se hallan reclamados por D. Bonifacio Doz y la Cerda, vecino de Tarazona, en Aragón, por sí y como heredero de su padre D. Jaime Doz, para que dentro…</t>
  </si>
  <si>
    <t>Gómez, Francisco Helena y</t>
  </si>
  <si>
    <t>Francisco Helena y Gómez</t>
  </si>
  <si>
    <t>79</t>
  </si>
  <si>
    <t>…mirado con el ma yor esmero la enseñanza y adelantamientos de la juventud, tiene nombrados ,por sus comisionados en este ramo á D. Francisco Martin González, regidor perpetuo, y á D. Francisco Helena y Gómez, diputado del .común , para que</t>
  </si>
  <si>
    <t>Gómez, Isabel</t>
  </si>
  <si>
    <t>Isabel Gómez</t>
  </si>
  <si>
    <t>…diendo deiecho el lie. D. Tomas de Linacero y Fuertes, abogado de los Reales Consejos, y clérigo de menores en esta corte, como capellán cumplidor de Ja memoria de misas que fundó Doña Isabel Gómez, viuda de Sebastian Ruiz, y Doña Isabel Antonia Zoa González de Córdoba, viuda, vecina de esta corte, en concepto de parienta del fundador de dicha memoria. Estos autos se paralizaron con motivo de las ocurren cias de la pasada guerra; y tratándose ahora de s…</t>
  </si>
  <si>
    <t>Gómez, Leonardo y D Francisco</t>
  </si>
  <si>
    <t>Leonardo y D Francisco Gómez</t>
  </si>
  <si>
    <t>…délos concurrentes, á ias que satisficieron pronta y debidamente, dis tinguiéndose entre estos D. Pedro Serra y D. Eugenio Calderón en su cla.. se de mayores de gramática latina; D. Leonardo y D Francisco Gómez -en -la de medianos; D. Josef Félix del Campo, D. Josef Gallo, D. Juan Ca no y D. Pedro Capillas en la de menores ¿ D. Adrián Coilantes y Ramón</t>
  </si>
  <si>
    <t>Gómez, Manuel</t>
  </si>
  <si>
    <t>Manuel Gómez</t>
  </si>
  <si>
    <t>…Blanco, D. Miguel Alonrso, D. Cesáreo Viguera, D. Miguel Chana, D. Antonio Castro, D. Toribio González, D. Santiago Alonso, D. Tomas Pardo, D. Ignacio Ojero, Don Fernando Movilla, D. Manuel Gómez, D. Francisco Rodriguez, D. Alvaro Chaves, D. Fernando García, D. Bernardino Lorenzo y D. Luis de León. El R. P. prior de Sto. Domingo demostró en un discurso que sin la reliion, virtud y buena educación no bastan las leyes á morigerar los pueblos: ). Bernard…</t>
  </si>
  <si>
    <t>Gómez, Pedro</t>
  </si>
  <si>
    <t>Pedro Gómez</t>
  </si>
  <si>
    <t>…Máximo y D. Joaquín Vargas, Don Felipe Crespo, D. Francisco Canillas, D. Pedro Miguel, D. Genaro Sal gado, D. Cándido de la Fuente , D. Josef García Vázquez , D. Aquilino Lu nar, D. Pedro Gómez, D. Celedonio Casado, D. Vicente Berdion , Don Joa quín Lumeras, D. Tomas Asensio, D. Mateo Rodriguez, D. Valentín Ga veta, D. Pedro Martin, D. Antonio Fernandez, D. Andrés Redondo, Don Federico Movilla, D. Bernardo Huelga, D. Esteban Blanco, D. Miguel Alonrs…</t>
  </si>
  <si>
    <t>Gómez, Tadeo</t>
  </si>
  <si>
    <t>Tadeo Gómez</t>
  </si>
  <si>
    <t>…Don Juan Ignacio de Ayesrarán, secretario del Rey nuestro Señor, la hice escribir por su mandado. = D. Gonzalo Josef de Vilches.rrD. Juan Benito Hermosilla. =Don Manuel de Torres.=D. Tadeo Gómez.= D. Benito Arias.^Registrada, Aquilino Escudero. =Teniente de canciller mayor, Aquilino Escudero. Por el ministerio de Marina se ha expedido la Real orden siguiente: Con motivo de haber dado parte el comandante de la fragata de guerra Sabina desde !a Ilavana…</t>
  </si>
  <si>
    <t>Gómez, Tadeo Segundo</t>
  </si>
  <si>
    <t>Tadeo Segundo Gómez</t>
  </si>
  <si>
    <t>…de Marzo último, se extraviaron de su curso regular, y veíamos con dolor privado al público de este maravillo so recurso en sus dolencias. Informado de tan fatal acontecimiento el Sr. Don Tadeo Segundo Gómez , consejero de Castilla , y superintendente de los ex presados baños, dictó al punto, animado del mayor zelo en favor de la hu manidad doliente, las providencias mas eficaces, á fin de que se restableciesen las aguas á su curso, y pudiesen los enfermos disfru…</t>
  </si>
  <si>
    <t>Gómez, Vicente</t>
  </si>
  <si>
    <t>Vicente Gómez</t>
  </si>
  <si>
    <t>…el juzgado del Sr. D. Joaquín Almazan, teniente corregidor de esta villa, y escribanía de D. Vicente de la Costa, se han formado autos á instancia de Doña Juliana Leceni, viuda de D. Vicente Gómez, y de su hijo D. Juan, reclamando 14 vales de 150 pesos, y uno de 300 de las creaciones de i.° de Setiembre de 1808, y nueve de ellos renovados en Sevilla en i.° de Setiembre de 809 , los cua les se retuvieron en esta corte en la oficina de renovación, y fuer…</t>
  </si>
  <si>
    <t>Gon, Josef Blanco</t>
  </si>
  <si>
    <t>Josef Blanco Gon</t>
  </si>
  <si>
    <t>…ebrero último tuvieron la honra de felicitar á S. M. por su augusto enlace, á nombre de la ciudad de Ronda, los Sres. D. Nicolás María Rendon, secretario de la cámara de Guerra, y D. Josef Blanco Gon zález; el primero de los cuales dijo: ,,Señor: La ciudad de Ronda, en Andalucía, cuya serranía tan funesta á los enemigos de V. M. y de la patria en el tiempo que la perfidia y la ambición los hizo penetrar hasta aquellos ásperos confines de nuestra hermo sa…</t>
  </si>
  <si>
    <t>Gong, Ricardo</t>
  </si>
  <si>
    <t>Ricardo Gong</t>
  </si>
  <si>
    <t>…derecho el que les asista pa ra obtener dicho patronato; con apercibimiento que de no hacerlo les parará el per juicio que haya lugar. En el concurso de acreedores á los bienes de D. Ricardo Gong, que pende en el tribunal del Real consulado de Cádiz, y por la escribanía de D. Elias Izquierdo y Payan, se ha señalado por providencia de 21 de Abril último el término de 18 meses, para que dentro de él acudan á deducir sus derechos los que se crean tenerlo…</t>
  </si>
  <si>
    <t>Gonsalvi</t>
  </si>
  <si>
    <t>…chos robos de consideración; y se espera que caerán en ma nos de la justicia. Habiendo recibido el embajador de Cerdeña una carta de su Soberano pasó inmediatamente á verse con el cardenal Gonsalvi. Se cree que esta car ta trate de la reclamación de los judíos, á quienes la Santa Sede ha prestado su apoyo en el asunto de los bienes nacionales. Graeta 12 de Abril. Se ha mandado hacer un inventario de los enseres que hay en esta plaza,</t>
  </si>
  <si>
    <t>Gonzá</t>
  </si>
  <si>
    <t>…r levante con el camino que va al lugar .de Lujar, tierras del conde de Bornos, otras del mayorazgo de Va lero hasta llegar á la cumbre aguas vertientes, por terral con tierras de Sr. Gonzá lez, por poniente con la cordillera del sitio que nombran del Puntalon hasta bajar al camino que hay en él para Calahonda, y por mediodía con la ratnbia del sitio que llaman el Puntalon y camino que va á Carlonca, tasados en 240S) rs., los 80$) capital de un…</t>
  </si>
  <si>
    <t>Gonzá, Donata</t>
  </si>
  <si>
    <t>Donata Gonzá</t>
  </si>
  <si>
    <t>…ditos usen del derecho que les asista; apercibidos que de lo contrario les parará el perjuicio que haya lugar.~De con formidad de los acreedores presentados en la testamentaría de Doña Donata Gonzá lez, y por providencia del Sr, D. Joaquín de Almazan, del Consejo de S. M., te niente corregidor de esta heroica villa, se ha mandado sacar á pública subasta por término de 30 dias dos casas sitas en esta corte, correspondientes á dicha testamen taría, la una…</t>
  </si>
  <si>
    <t>González</t>
  </si>
  <si>
    <t>…en estar lejos de nosotros: no obstante, el 16 estando en Angangueo como á las 12 del dia tuve noticia que Alvarez quería quemar á Maravatio, y que su segundo, el fingido teniente coronel González, quiso robar.indignamente una mucha cha de dicho pueblo; mas el padre de esta se opuso en términos de batirse con este inicuo, y aunque perdió la vida á manos de un teniente llamado Br enes, logró dar dos heridas á González, las que le obligaron á retirarse p…</t>
  </si>
  <si>
    <t>González, Cipriano Lope</t>
  </si>
  <si>
    <t>Cipriano Lope González</t>
  </si>
  <si>
    <t>…mito en B.°, impreso en 1793. Véndese á 2 rs. en papel en el almacén de la imprenta Real. Gramática de la lengua latina, simplificada y reducida á nuevo método en tres libros, por D. Cipriano Lope González, impresa en 1788. Véndese á 3 rs. en pa* peí en el referido almacén. EN LA IMPRENTA REAL,</t>
  </si>
  <si>
    <t>González, Diego Benigno</t>
  </si>
  <si>
    <t>Diego Benigno González</t>
  </si>
  <si>
    <t>…an con derecho á la casa solar que en la calle del Mesón de Paños de esta población está señalada con el núm. 2 de la manz. 416, perteneciente en el dia á las hijas y herederas de D. Diego Benigno González, pa ra que en el término de 30 dias se presenten ante S. S., y por la escribanía del nu mero de D. Pascual Seco, á decir y acreditar con documentos el que les corresponda por medio de procurador con poder bastante, que si lo hicieren se les oirá y guar dará j…</t>
  </si>
  <si>
    <t>…con derecho á la casa solar, que en la calle del Mesón de Paños de esta corte está seña lada con el número 2 de la manzana 416, perteneciente en elidía á las hijas y here deras de D. Diego Benigno González, p3ra que en término de 15 dias, que por úl timo y perentorio se les señala, se presenten en la audiencia de S. S*, y por la es cribanía del número de D. Pascual Seco, á acreditar con documentos el que les cor responda, por medio de procurador con poder basta…</t>
  </si>
  <si>
    <t>González, Donata</t>
  </si>
  <si>
    <t>Donata González</t>
  </si>
  <si>
    <t>…ia se han presentado, y á los que no lo verifiquen les parará el perjuicio que haya lugar. Por el presente se cita y emplaza á todos los acreedores, testamentarios y here deros de Doña Donata González, viuda que fue de D. Antonio Adeba y Osorio, para la junta que entre los mismos ha de celebrarse el domingo 4 del próximo mes de Mayo á las nueve en punto de su mañana en la posada del Sr. D. Joaquín de Almazan, del Consejo de S. M., teniente corregidor de es…</t>
  </si>
  <si>
    <t>González, Félix</t>
  </si>
  <si>
    <t>Félix González</t>
  </si>
  <si>
    <t>…don, Trillo, el Molar y Puerto-Lla no en Castilla la Nueva; el segundo, individuo de la Real junta D. Vicente Martínez, de las de Navarra, Asturias, Valencia y Murcia; el tercero, Don Félix González, de las de Cataluña y Extremadura; el cuarto, D. Bartolo mé Pinera, de las de Andalucía; el quinto , D. Máximo Manuel Lorente, de las de Castilla la Vieja y Galicia; el sexto, D. Serapio Sinués, de las de Aragón , y el séptimo vocal, secretario D. Manuel Dami…</t>
  </si>
  <si>
    <t>Gonzalez, Fernando</t>
  </si>
  <si>
    <t>Fernando Gonzalez</t>
  </si>
  <si>
    <t>66 .. no de ~{urcia, repartiéndose con igualdad entre todos los que intervinier~n en la aprehe.lsion, ó entregándose por entero al diputado Fernando Gonzalez si por sí solo la egecutó •. El comandante de marina de Santander participa con fecha de 12 del ~resente al Excmo. Sr. Secretario del despacho de Marina la llegada de la ft'agata española Dos Herm;11lOs, y los bergantines Medea y Jtninlo, procedentes de la I-…</t>
  </si>
  <si>
    <t>González, Francisco</t>
  </si>
  <si>
    <t>Francisco González</t>
  </si>
  <si>
    <t>…irá un caballo un espetón de hierro á golpe de martillo en el cerebro por encima del hueso frontal, in troduciéndolo hasta salir una porción de dicho cerebro,que mostró el proísor D. Francisco González á todas las personas que se hallaban presentes. En seguida se le introdujo el bálsamo, y se le puso encima un pedacito de bal dés con un poco de pez para contener el específico en dicha herida, y á los cuatro dias ya se halló esta cicatrizada, y curado el cab…</t>
  </si>
  <si>
    <t>596</t>
  </si>
  <si>
    <t>…también los censores designados por dicho ilustre cuerpo , empezaron á las nueve de la mañana los egercicios de gramática latina, á que dieron principio sus respec tivos maestros D. Francisco González y D. Pedro Fuertes con una elegante oración de apertura, cada uno en su clase.Por la tarde fueron examinados en todos los elementos de aritmética y álgebra los alumnos de esta escuela ai cargo de D. Antonio Tejada, habiéndose sorteado las cuestiones y problemas hasta los mas di…</t>
  </si>
  <si>
    <t>González, Francisco Martin</t>
  </si>
  <si>
    <t>Francisco Martin González</t>
  </si>
  <si>
    <t>…ilustre ayuntamiento de dicha villa, que siempre ha mirado con el ma yor esmero la enseñanza y adelantamientos de la juventud, tiene nombrados ,por sus comisionados en este ramo á D. Francisco Martin González, regidor perpetuo, y á D. Francisco Helena y Gómez, diputado del .común , para que</t>
  </si>
  <si>
    <t>González, Joaquín</t>
  </si>
  <si>
    <t>Joaquín González</t>
  </si>
  <si>
    <t>…s D. Joaquín Rivaherrera ,de Fernando vil, y D. Rafael de Irazazabal, de urbanos de Cuernavaca, que me acompañó y mandó la guerrilla con mucho valor; los tenientes de aquel cuerpo D. Joaquín González y Don Martin Casas; el de esta clase D. Eugenio Revilla, comandante de la prime ra compañía de mi regimiento, á quien encargué el mando de varias parti das por su mucha disposición; el alférez de mi compañía D. Francisco Bar bosa, que haciendo de ayudante comunicó mis órdenes,…</t>
  </si>
  <si>
    <t>González, Josef Manuel</t>
  </si>
  <si>
    <t>Josef Manuel González</t>
  </si>
  <si>
    <t>…ado en la misma: la ayudantía del castillo del Morro en la propia isla á D. Vicente Sierra, teniente del regimiento de infantería de Navarra; y la del de S. Car los de la Cabaña á D. Josef Manuel González, que servia igual empiecen ei del Príncipe___ También se ha servido S. M. conceder honores de auditor de guerra de egército y provincia á D. Blas Ozores, asistente justicia mayor de la ciudad de Santiago, en atención á su literatura, idoneidad y conoci miento…</t>
  </si>
  <si>
    <t>González, Manuel</t>
  </si>
  <si>
    <t>Manuel González</t>
  </si>
  <si>
    <t>…Abril. Quien supiere el paradero de Jaime Alivau, catalan, que en los años de 1796 servia de criado á algunos caballeros guardias de la compañía Italiana, se servirá avistarse con D. Manuel González, portero de la secretaría de la Cruzada, plazuela del Cordon, donde existe dicha oficina, para percibo de unos intereses que le per tenecen. EN LA IMPRENTA REAL.</t>
  </si>
  <si>
    <t>…. Tosef Mariano Cabanes, regidor perpetuo de Barcelona; D. Francisco de Valle-Roldan, decano de la Rota de la Nunciatura; D. Miguel Herrera, dignidad de la ca tedral de la Havana; D. Manuel González de la Vega, vecino de la Hava5a ’i DV.A'!drC'S Im?z Altolaguirre, deán de la catedral de León; D. Manuel de la Madriz, vecino de Potes, maestrante de Ronda; D. Marcelino de la Torre, oficial mayor de la secretaría del Consejo de Estado; D. Juan Anto nio Mende…</t>
  </si>
  <si>
    <t>González, Miguel</t>
  </si>
  <si>
    <t>Miguel González</t>
  </si>
  <si>
    <t>…es: Primera clase: D. Eusebio Tarancon y Alique, D. Leornardo More no.__Segunda clase: D. Víctor Moya, D. Manuel de Torres___ Tercera clase'. D. Josef Vicente Fernandez y Collada, D. Miguel González___ Los examinadores, admirados de los adelantamientos que en el corto tiempo que llevan de enseñanza manifestaron D. Eusebio Tarancon y Alique, D. Leo nardo Moreno, D. Josef Benito Priego y D. Manuel Castellanos, los cuatro de la primera clase, ofrecieron par…</t>
  </si>
  <si>
    <t>González, Monica</t>
  </si>
  <si>
    <t>Monica González</t>
  </si>
  <si>
    <t>…ngo de Párramo: 391200, 391541,391732,392840, 393503 y 39^004 D. Andrés Ortiz: 396537 D. Domingo Mas y Somoza: 39735 t D. Andrés Ortiz: 397951 Banco Ra cional de S. Carlos: 399968 Doña Monica González: 406018 y 407829 D. Francisco Arxer é h-jo (.de Barcelona) 1408939 Doña María Antonia Sanz Merino: 409380 D. Josef Arratia : 41 1609 Doña María Antonia Sanz Meri no___ De 30c pesos de Ma) o de 1808: 429525 Sres. Sánchez y Lozano: 441445 y 442975 D Juan Dagés:…</t>
  </si>
  <si>
    <t>González, Salustiano Manuel</t>
  </si>
  <si>
    <t>Salustiano Manuel González</t>
  </si>
  <si>
    <t>…idem, en 2S rs. (Se continuará.') A voluntad de su dueño se vende un oficio de regidor perpetuo de esta muy heroica villa, y está encargado para tratar los términos y condiciones D. Salustiano Manuel González, procurador del número de la misma. Se desea saber el paradero ó existencia de D. Juan Mateo Ayuso, quien en el año de 1808 se hallaba de subteniente del regimiento de infantería de Nápoles, y en el que continuó hasta la batalla de Rioseco, que por la desorga…</t>
  </si>
  <si>
    <t>…con arreglo á sus facultades. Se vende ó arrienda una escribanía del número de esta muy heroica villa de Madrid, á cuyo efecto se tratará con el procurador del número de la misma D. Salustiano Manuel González. Disposiciones seguras para proporcionar abasto y baratura de pan en Madrid y en las ciudades principales del reino: obrita en la que se exponen rápidamente los principios de economía,'política acerca del comercio de granos, y se establecen las reglas que con…</t>
  </si>
  <si>
    <t>González, Toribio</t>
  </si>
  <si>
    <t>Toribio González</t>
  </si>
  <si>
    <t>…n, D. Antonio Fernandez, D. Andrés Redondo, Don Federico Movilla, D. Bernardo Huelga, D. Esteban Blanco, D. Miguel Alonrso, D. Cesáreo Viguera, D. Miguel Chana, D. Antonio Castro, D. Toribio González, D. Santiago Alonso, D. Tomas Pardo, D. Ignacio Ojero, Don Fernando Movilla, D. Manuel Gómez, D. Francisco Rodriguez, D. Alvaro Chaves, D. Fernando García, D. Bernardino Lorenzo y D. Luis de León. El R. P. prior de Sto. Domingo demostró en un discurso que sin…</t>
  </si>
  <si>
    <t>González, Vicente</t>
  </si>
  <si>
    <t>Vicente González</t>
  </si>
  <si>
    <t>…el teniente de granaderos de dicho cuerpo D. Joaquín Gata, acompañado del subteniente del mismo Don Domingo Noriega, y el piquete de caballería de urbanos de Toluca del car go del teniente D. Vicente González. A las 7 de la noche del 2$ del corriente salió la división de este pueblo mandada por el teniente Gata, á cuyo oficial di las competentes instruccio nes ,, previniéndole cayese indispensablemente sobre dicho campamento á las 4 de la manaña. El resultado de t…</t>
  </si>
  <si>
    <t>…ión, y muy particularmente al tenien te y subteniente del regimiento infantería de Fernando vn D. Joaquín Ga ta y D. Domingo Noriega , y al teniente del escuadrón urbano de Toluca D. Vicente González, por la constancia con que superaron los muchos obs táculos en la rápida marcha y demas movimientos que tuvieron que egecutar en aquella noche, para que si lo tuviere á bien se sirva elevarlo todo á ia su perioridad del Exorno, Sr. virey. Dios guarde á vmd. m…</t>
  </si>
  <si>
    <t>González, Vicente Gómez</t>
  </si>
  <si>
    <t>Vicente Gómez González</t>
  </si>
  <si>
    <t>I2g9 coronel retirado D. Vicente Gómez González deMedránó: para ladeHaro á D.Domingo de S. Martin: para la de la Rambla á D. Diego Crespo de León, alcalde mayor que era de las nuevas poblaciones de Sierramorena: para la de Altnendralejo á D. Francisco de Paula Díaz Recio, corregidor que era dé Estepona: pa…</t>
  </si>
  <si>
    <t>Gonzalo, Miguel</t>
  </si>
  <si>
    <t>Miguel Gonzalo</t>
  </si>
  <si>
    <t>…e hace saber á dichos acreedores para que concurran por sí, ó persona en su nombre con suficiente poder, según se ha egecutado en otras anteriores, por la escribanía del número de D. Miguel Gonzalo; con apercibimiento que al que no comparezca le parará el perjuicio que haya lugar. En virtud de providencia del Sr. D. Joaquín de Almazan, del Consejo de S. M., teniente corregidor de esta villa, se sac3 á pública subasta, por término de 30 dias, una casa en…</t>
  </si>
  <si>
    <t>…eliciana de Arenzana, su muger, para que en el término preciso y peren torio de 30 dias acudan ¿ deducirle al juzgado del Sr. D. Joaquin Almazan, y por la escribanía del número de D. Miguel Gonzalo* en el expediente formado á ins tancia del presbítero D. Pedro López Martínez, apoderado de los referidos acreedo res; en inteligencia que al que no comparezca, pasado que sea el citado término, Je parará el perjuicio que haya lugar. Por providencia del Sr. D…</t>
  </si>
  <si>
    <t>…s, tasado en 300 rs. vn. Las personas que quieran hacer postura á dichas fincas acudan dentro del citado término ante dicho señor juez, y por la escribanía del número del cargo de D. Miguel Gonzalo, donde se admitirán las que se hicieren siendo arregladas. Se halla vacante la plaza de primer médico de la ciudad de Oviedo, cuya dota ción son 8©o ducados, con la obligación de servir una de las cátedras de medicina de su universidad, si se restableciese es…</t>
  </si>
  <si>
    <t>…ecitada testamentaría; con apercibimiento de que en su defecto les parará el per juicio que haya lugar. En el juzgado del Sr. D. León de la Cámara Cano, y escribanía del número de D. Miguel Gonzalo, pende reclamación de D. Bernardo Eíejaga, vecino de Bilbao, sobre que se declaren de su pertenencia seis vales Reales de la creación de i.° de Setiembre de 1808, uno de 600 pesos, núm. 15682; otro de 300, núm. 7111 1 , y los cuatro restantes de 150 pesos, nu…</t>
  </si>
  <si>
    <t>…o en 300 rs. vn. Las personas que quieran hacer postura á las fincas referidas acudan dentro del citado término ante dicho señor juez, y por la escribenía del nú mero del cargo de D. Miguel Gonzalo, donde se admitirán las que se hicieren sien do arregladas; en inteligencia que para el remate de ellas se ha señalado el dia 20 de Agosto próximo á las 12 de su mañana en la audiencia de dicho señor juez. Se halla vacante la plaza de médico titular de la vil…</t>
  </si>
  <si>
    <t>Gorrín, Salvador</t>
  </si>
  <si>
    <t>Salvador Gorrín</t>
  </si>
  <si>
    <t>…egué á S. Fernando de Apure el 13 de Febrero, donde encontré las tropas que manda el interino gobernador de la provincia de Varinas briga dier D. Ramón Correa , y las del teniente coronel D. Salvador Gorrín , que se hablan batido gloriosamense con los cuerpos que atacaron aquel punto fortificado, cuya defensa sostuvieron con el mayor entusiasmo y valentía. La&amp; bandas reunidas de Paez con mas de 800 mugeres, y una emigración in mensa, se vieron desde entonces red…</t>
  </si>
  <si>
    <t>Gosalbes, Buenaventura</t>
  </si>
  <si>
    <t>Buenaventura Gosalbes</t>
  </si>
  <si>
    <t>…nfante D. Carlos. El mismo dia tuvieron el honor de felicitar á SS. MM. por su efectuado enlace, en nombre y representación del ayuntamiento de la Real villa de Alcoy, los RR. PP. D. Buenaventura Gosalbes y D. Juan Gosálbes, pre fectos de las dos casas de esta corte de clérigos reglares agonizantes del orden de S. Camilo; D. Rafael Gosalbes, cadete de Reales guardias de la Persona del Rey, y D. Josef María Asensi y Climent, guardia del mismo Real cuer po; de los que el primero d…</t>
  </si>
  <si>
    <t>Gosalbes, Rafael</t>
  </si>
  <si>
    <t>Rafael Gosalbes</t>
  </si>
  <si>
    <t>…la Real villa de Alcoy, los RR. PP. D. Buenaventura Gosalbes y D. Juan Gosálbes, pre fectos de las dos casas de esta corte de clérigos reglares agonizantes del orden de S. Camilo; D. Rafael Gosalbes, cadete de Reales guardias de la Persona del Rey, y D. Josef María Asensi y Climent, guardia del mismo Real cuer po; de los que el primero dijo á S. M. entre otras cosas: „Señor: La Real villa de Alcoy, de vuestro fidelísimo reino de Valencia, uno de los pueb…</t>
  </si>
  <si>
    <t>Goudowitch</t>
  </si>
  <si>
    <t>…del Brasil marques de Marialva. Se calcula que costará esta fiesta un millón de florines en dinero. Un caballero recien venido de Polonia ha dado las noticias siguientes del feld-mariscal Goudowitch, que vive en Tchitchelnick, en la Polonia meri dional. Este guerrero anciano, que ha militado bajo cinco Soberanos rusos, entró á servir en el año de 1759 reinando la Emperatriz Isabel, y fue nom brado feld-mariscal por el Emperador Alejandro después de la vi…</t>
  </si>
  <si>
    <t>Gouvion</t>
  </si>
  <si>
    <t>…iente á aquella nación, que habia apresado. FRANCIA. París 1 $ de Setiembre. Habiendo hecho dimisión del ministerio de Guerra el duque de Feltre, ha nombrado el Rey en su lugar al mariscal Gouvion*St. Cir. También ha nom brado S. M. ministro de Marina al conde Molé , par de Francia. El tribunal prevostal de León está entendiendo hace ocho dias en la cau sa formada contra los 22 insurgentes de los pueblos deSavigny , St. Germán, Buily y St. Bel. El 7 de…</t>
  </si>
  <si>
    <t>Govantes, Angel Casimiro</t>
  </si>
  <si>
    <t>Angel Casimiro Govantes</t>
  </si>
  <si>
    <t>…redero: comedia en prosa en tres actos, por D. Francisco Xa vier de Burgos: un tomo en 8.° Estas obras se hallarán en la librería de Dávila, calle de las Carretas. Poesías del Dr. D. Angel Casimiro Govantes, divididas en dos partes. La pri mera contiene varias odas á los acontecimientos pasados de nuestra independencia; otra á la retirada de los franceses &amp;c., y la segunda se compone de cuentos satíri cos y fábulas, siendo todas sus composiciones morales, histór…</t>
  </si>
  <si>
    <t>Govantes, Pablo</t>
  </si>
  <si>
    <t>Pablo Govantes</t>
  </si>
  <si>
    <t>…santa iglesia de Segovia , y auditor honora rio de la Nunciatura. Consiliario i.° D. Josef María Diez Quijada y Oveje ro. Idem 2.0 D. Clemente García Escudero y Urrutia. Idem 3.0 D. Pablo Govantes. D. Marcos Galan , D. Antonio Castellano y Cabrejano, D. Juan González Miranda, D. Antonio Arias de Prada , D. Justo Saenz de S. Pedro, D. Gabriel Ceruelo de Velasco y D. Josef Sacasa. Capellán D. Francisco Carpintero y Eraso. Para el de S. Bartolomé en Salam…</t>
  </si>
  <si>
    <t>Goyoneche, Ignacio de</t>
  </si>
  <si>
    <t>Ignacio de Goyoneche</t>
  </si>
  <si>
    <t>…, primera marquesa de Ugena, para la familia del señor marques D. Juan Francisco de Goyoneche, su marido; por tanto se llama y emplaza á las personas que tengan paren tesco con el Sr. D. Ignacio de Goyoneche , actual marques de Ugena, conde de Saceda, patrono de la misma capellanía, ó que pretendan tener derecho al goce de es ta fundación, para que dentro de 30 días comparezcan ante el mismo señor conde, que vive en esta corte, red de S. Luis, frente á la calle d…</t>
  </si>
  <si>
    <t>Goyoneche, Juan Francisco de</t>
  </si>
  <si>
    <t>Juan Francisco de Goyoneche</t>
  </si>
  <si>
    <t>…pellanía colativa que en la parroquial de San Sebastian de esta corte fundó la Sra. Doña Isabel María de la Cruz Aedo, primera marquesa de Ugena, para la familia del señor marques D. Juan Francisco de Goyoneche, su marido; por tanto se llama y emplaza á las personas que tengan paren tesco con el Sr. D. Ignacio de Goyoneche , actual marques de Ugena, conde de Saceda, patrono de la misma capellanía, ó que pretendan tener derecho al goce de es ta fundación, para que de…</t>
  </si>
  <si>
    <t>Graells, Ignacio</t>
  </si>
  <si>
    <t>Ignacio Graells</t>
  </si>
  <si>
    <t>…de^medicina en aquella provincia, según se halla delineada en los estatutos que encierra el adjunto proyecto dirigido á pro mover los adelantamientos de la medicina , formado por D. Ignacio Graells, médico titular de Carabanchel de abajo.” S. M. se dignó contestarles con la amabilidad que le es propia. En seguida pasaron á felicitar á S. A. R. el Sermo. Sr. Infante D. CárloSj que se dignó admitirlos. ARTICULO DE OFICIO. Circular de la Dirección general…</t>
  </si>
  <si>
    <t>…á D. Juan de la Monja, médico ti tular de Pedraza de la Sierra, para Ardales: en el reino de Sevilla D. Miguel Baldovi, residente en S. Felipe de Xátiva , para Bornos: en Cataluña Don Ignacio Graells, médico de Carabanchel de abajo, para Caldas deMombuy: D. Antonio Coca, médico titular de la villa de Igualada, para Caldetas: en Extremadura D. Josef Alegre Galan, médico titular de la villa de Campa nario, para Alange: D. Francisco Martinez, médico de númer…</t>
  </si>
  <si>
    <t>Grajera, Toribio</t>
  </si>
  <si>
    <t>Toribio Grajera</t>
  </si>
  <si>
    <t>…formada y sentenciada en esa pla za de Badajoz, en cumplimiento de la Real orden de 16 de Febrero del año anterior, expedida á solicitud de Doña Juana Topete de Arguello, viuda de D. Toribio Grajera, conde de la Torre del Fresno, mariscal de campo, y comandante general interino que fue de esa provincia, en averiguación de la conducta militar y política que observó su difunto marido en los acaecimien tos y ocurrencias del mes de Mayo de 1808; y en su vist…</t>
  </si>
  <si>
    <t>Granados, Juan</t>
  </si>
  <si>
    <t>Juan Granados</t>
  </si>
  <si>
    <t>…noche después de ir le guas de camino, y adviniendo que los bandidos se habían fugado, hice seguir la caballería con su teniente D. Mariano Lugo, y el de igual clase de mi cuerpo D. Juan Granados para Ciricicuaro, donde, aunque se hallaba Gon zález, no se logró cogerlo, y sí su sable y caballos, con el teniente Brenes, que al siguiente dia pasé por las armas en el arroyo de Luna, é hice colgar para escarmiento de los de su clase. „En este parage recib…</t>
  </si>
  <si>
    <t>Granados, Vicente Ximenez</t>
  </si>
  <si>
    <t>Vicente Ximenez Granados</t>
  </si>
  <si>
    <t>1021</t>
  </si>
  <si>
    <t>…la ciudad de Baeza de felicitar á S. M. por el deseado alumbramiento de la Reina nuestra Señora por me dio del Excmo. Sr. duque de Montemar, grande de España de primera cía se, y D. Vicente Ximenez Granados, corregidor de dicha ciudad; y eh primero dijo: ,,Señor: La antigua y siempre fiel ciudad de Baeza representa á L. R. P. de V. M. por nuestro medio, y le felicita por el feliz alumbramiento de lar Reina nuestra Señora, deseando que la recien nacida Infanta, e…</t>
  </si>
  <si>
    <t>Grandallana, Domingo de</t>
  </si>
  <si>
    <t>Domingo de Grandallana</t>
  </si>
  <si>
    <t>…le de las Carretas. La Amalia, novela original, dispuesta en forma de cartas dirigidas á un amigo residente en Aranjuez ; dos tomos en 8.°__Elogios postumos de los Examos. Señores D. Domingo de Grandallana y D. Josef de Espinosa._Las costumbres del dia , co media: por D. Ramón Tamayo. Se hallarán en la librería de Escribano, calle de la* Carretas. — En dicha librería se venden las traducidas por el minino sugeto, y son: la Virtud sacrificada; el conde de Corlee, llamado el Grande, ó…</t>
  </si>
  <si>
    <t>Granés, S. M.</t>
  </si>
  <si>
    <t>S. M. Granés</t>
  </si>
  <si>
    <t>…enida por la nación española en defensa de su libertad, y por la de su augusto Monarca Fernando vii: un cua derno en 8.° marquida, presentado y dedicado á S. M. por su pensionista D. S. M. Granés. Se hallará en el despacho de la imprenta Real. Baños de rio, caseros y de mar: excelencias del baño y reglas para bañarse, pre caviendo en los casos comunes los excesos sin consulta: nuevo medio para criar á los niños hermosos, sanos y robustos: primera edic…</t>
  </si>
  <si>
    <t>Granville-Leveson-Gower</t>
  </si>
  <si>
    <t>…ndres, no volverá á esta capital. Algunos creen que va de embajador á Petersburgo, y otros que reemplazará á lord Sommerset en el gobierno del cabo de Buena-Esperanza. Se dice que lord Granville-Leveson-Gower vendrá aquí como embajador de Inglaterra. BOHEMIA. Carlsbad j de Junio, El príncipe Blucher llegó aquí el 31 de Mayo, y habita interinamente en la casa que está prevenida para el Rey de Prusia, quien no vendrá hasta fines de este mes. Se espera que llegarán a…</t>
  </si>
  <si>
    <t>Gravina</t>
  </si>
  <si>
    <t>…o de decir á vmd. que no puede ser aceptada la referida obra. = jB7 conde Capo d'lstria. ESPAÑA. Madrid 6 de Agosto. El viernes i.° del corriente tuvo su audiencia de despedida el cardenal Gravina, con cuyo motivo tuvo la honra de dirigir á S. M. el discurso si guiente: s) Señor; Con el mayor sentimiento de mi alma tengo el honor de des</t>
  </si>
  <si>
    <t>…n el cual logró salvar su navio y otros de la escuadra, por lo que le premió S. M. con la gran cruz de la Real orden de Carlos m, con el mando de la escuadra luego que falleció el general Gravina, y con la enco mienda de las casas de Talavera en la orden de Calarrava. Creado el Almi rantazgo en 1807 se le nombró ministro decano de él; y en este destino, al principio de nuestra heroica revolución , desplegó desde luego su lealtad y patriotismo, resisti…</t>
  </si>
  <si>
    <t>Gravina, Federico</t>
  </si>
  <si>
    <t>Federico Gravina</t>
  </si>
  <si>
    <t>…la defensa y prospe ridad de las posesiones españolas en Asia. Declarada á fines del año siguiente la guerra á los ingleses fue destinado de segundo gefe de la escuadra que mandó D. Federico Gravina; y con ella se halló en el memorable combate de Trafalgar, en el cual logró salvar su navio y otros de la escuadra, por lo que le premió S. M. con la gran cruz de la Real orden de Carlos m, con el mando de la escuadra luego que falleció el general Gravina, y…</t>
  </si>
  <si>
    <t>Gravoleda, Ramón</t>
  </si>
  <si>
    <t>Ramón Gravoleda</t>
  </si>
  <si>
    <t>…premo del mismo ramo: el gobierno de Sra. Isabel de los Pasages al capitán D. Juan Conde, ayudante del regimiento de infantería de la Corona: la ayudantía de Ja plaza de Cardona á D. Ramón Gravoleda, teniente del de Bailen: la del castillo de Monjuich de Barcelona á D. Bernardo Monserrat, subteniente del mismo cuerpo: la segunda de la plaza de Gerona al teniente D. Pedro de la Muda, subteniente del regimiento de infantería de Africa: la primera de la de…</t>
  </si>
  <si>
    <t>Gray, Martin de</t>
  </si>
  <si>
    <t>Martin de Gray</t>
  </si>
  <si>
    <t>…Diciembre. CAMARA DE LOS DIPUTADOS. En la sesión de este día sé empezó á discutir el proyecto de Jey que tiene por objeto la represión de los abusos de la libertad de imprenta. El barón Martin de Gray, diputado del Alto-Saona , impugnó en un larso discurso el proyecto, y en seguida habló á favor de él Mr. Jollivet, habiendo quedado ]a discusión pendiente. ■Idem rj. Escriben de Strasburgo que la comisión encargadarde la i restitución, mu tua de las islas de…</t>
  </si>
  <si>
    <t>Gregory, Olynthus</t>
  </si>
  <si>
    <t>Olynthus Gregory</t>
  </si>
  <si>
    <t>…socorro de los huérfanos. GRAN BRETAÑA. Londres 19 de Julio. Escriben de Aberdeen con fecha de 12 de este mes lo siguiente: „El Iú-» nes último llegaron á esta ciudad Mr. Biot, el doctor Olynthus Gregory, el capitán Colby y el capitán Mudge, que van á las islas Oreadas para con tinuar sus observaciones astronómicas á fin de determinar la figura de la tier ra. Las autoridades y los individuos del colegio Marishal los han obsequia do mucho, con cuyo motivo dice…</t>
  </si>
  <si>
    <t>Grey</t>
  </si>
  <si>
    <t>491</t>
  </si>
  <si>
    <t>…scuaje; pero dias pasados tuvimos la desgracia de ver destruidas 25 casas, y muertas 28 personas y 43 vacas. GRAN BRETAÑA. Londres 77 de Abril. En la cámara de los Pares hizo ayer lord Grey la propuesta de que se presentase á la Cámara una copia de la circular dirigida por lord Sydmouth á los lores tenientes de los condados concerniente á los escritos sediciosos, y y habiéndose mandado presentar la circular, el conde Grey propuso que ex presaría…</t>
  </si>
  <si>
    <t>Lansdown, el conde de Spencer, el duque de Montrose, el conde de Grosvenor y otros; pero particularmente el conde Grey, quien en un largo dis&lt;curso procuró manifestar que los peligros que se temen no son tan grandes como los pintan los ministros. Después de haber hablado otros vocales, unos en pro y otros en contra, se resolvió que se leyese el bilí segunda vez por una mayorí…</t>
  </si>
  <si>
    <t>Grima, Felipe</t>
  </si>
  <si>
    <t>Felipe Grima</t>
  </si>
  <si>
    <t>…de rudimentos,de gramática latina, de sintaxis de la misma, de retórica y de geografía. En el primer dia, habiéndose presentado los de las dos primeras clases D. Mariano Laplana, D. Felipe Grima y D. Fernando Sancristobal, el primero abrió el acto pidiendo el permiso al público en una canción, y los dos segundos siguieron con otros versos alusivos al mismo efecto. D. Matías García , D. Manuel Gil, D. ¿Antonio Cubero, D. Vicente Grima, D. Josef La justicia, D. Francisco Gil y D…</t>
  </si>
  <si>
    <t>Grima, Pedro</t>
  </si>
  <si>
    <t>Pedro Grima</t>
  </si>
  <si>
    <t>sintaxis, sobresaliendo D. Agustín Perez. En seguida y en la clase de mayo res y retórica D. Pedro Grima, D. Miguel Martinez, D. Mariano Martínez y D. Eloy Pascual, que también manifestaron su aplicación y adelantamien tos, siendo el mas sobresaliente de ellos D. Pedro Grima. Todos los concurrentes quedaron sumamente complacidos de la aplica ción, disposición y…</t>
  </si>
  <si>
    <t>Grima, Vicente</t>
  </si>
  <si>
    <t>Vicente Grima</t>
  </si>
  <si>
    <t>…l acto pidiendo el permiso al público en una canción, y los dos segundos siguieron con otros versos alusivos al mismo efecto. D. Matías García , D. Manuel Gil, D. ¿Antonio Cubero, D. Vicente Grima, D. Josef La justicia, D. Francisco Gil y D. Ramón Bosquet trata ron extensamente de todos los rudimentos, en lo cual, aunque acreditaron to dos su aplicación y adelantamiento, sin embargo sobresalió entre todos Don Josef Lajusticia. En la sintaxis D. Antonio…</t>
  </si>
  <si>
    <t>Grodina</t>
  </si>
  <si>
    <t>…á V. muchos años. Huauchinango y Diciembre 8 de 1816. = josef María Luvian. = vSeñor teniente coronel D. Francisco de las Piedras, comandante general de esta sección.” Almanta de Doña Grodina (reino de Aragón) 20 de Mayo. D. Martin Artigas, preceptor de gramática de esta villa, tuvo en los dias 3 y 4 del corriente certámenes públicos en la iglesia parroquial de la misma, á ios que asistieron el muy ilustre ayuntamiento, capítulo eclesiástico, reli…</t>
  </si>
  <si>
    <t>Grosoley, Juan</t>
  </si>
  <si>
    <t>Juan Grosoley</t>
  </si>
  <si>
    <t>…o de corregidor de esta muy heroica villa, se cita y emplaza á los parientes y demas personas que se contemplen con derecho á los bienes quedados por falle cimiento abintestato de D. Juan Grosoley, capitán retirado y agregado al estado mayor de Ja plaza de la ciudad de la Havana, para que en el término de 30 dias acu dan á deducirle al juzgado de S. S. con las justificaciones correspondientes, y escri banía del número de D. Antonio López de Salazar; co…</t>
  </si>
  <si>
    <t>Grosvenor</t>
  </si>
  <si>
    <t>…conde de Westmoreland, el duque de Athol, el marques de Buckingham y el conde de Aberdeen. Entre los que se opu sieron á él se notan los siguientes: lord Erskine, lord St-John, el conde Grosvenor, lord Aukland y el duque de Sussex. Nos limitaremos á extractar el discurso del marques de Buckingham, quien ha adquirido en esta ocasión nuevos títulos al reconocimiento de su patria. ,,Considero, dijo el noble lord, la cuestión presente como una de las mas…</t>
  </si>
  <si>
    <t>Grouchy</t>
  </si>
  <si>
    <t>…iario de Prusia á la corte del Brasil, y se embarcará probablemente en Inglaterra para su destino. El segundo consejo de guerra adonde se había remitido la causa formada contra el general Grouchy , se ha declarado incompetente. Escriben de Constantinopla con fecha de 25 de Febrero que en 18 del mismo mes un incendio voraz destruyó mas de 300 casas en aquella ciudad. Tres dias después volvió á manifestarse el fuego, y acabó de consumir en el mismo cuar…</t>
  </si>
  <si>
    <t>Grrantia, Francisco de</t>
  </si>
  <si>
    <t>Francisco de Grrantia</t>
  </si>
  <si>
    <t>…por la Mesa de los Caballos, asaltándolo con la ma yor bizarría y denuedo ias tres columnas de ataque que dispuse y combiné al efecto á las órdenes de los comandantes de división coronel D. Francisco de Grrantia , y tenientes coroneles D. Juan Pesquera y D. Felipe Castañon. ,, Antes del asalto del fuerte el dia 4 de este tuvieron estas tropas una fuerte acción , empeñada impensadamente por las guerrillas , sostenida con indecible valor; pues no obstante que no estaba…</t>
  </si>
  <si>
    <t>Gruner</t>
  </si>
  <si>
    <t>…a que prece dió á la abdicación de aquel ¿Monarca. La comisión militar suprema acaba de pronunciar la sentencia siguiente: „E1 teniente genera! Haxthausen, el mayor Schroeder y el capitán Gruner quedan absueltos de Ja acusación fiscal. ,,Se condena á muerte al teniente general Staífeldt, acusado de haber im pedido hacer un movimiento al egército en retirada sin motivo y sin orden. „El teniente coronel Hals , acusado y convencido de haber entregado po…</t>
  </si>
  <si>
    <t>Gu, Alejandro</t>
  </si>
  <si>
    <t>Alejandro Gu</t>
  </si>
  <si>
    <t>…ignidad de la catedral de Puebla de los Angeles; D. Pe dro Perez Muñoz, vecino de Quito; D. Mateo de Agüero Marcos, secreta rio general interino de la orden, y al capitán de navio D. Alejandro Gu tiérrez de Ruvalcaba. Cruces de Caballeros A los Sres. D. Marcos Francisco Rivas, presbítero, domiciliado en Cara cas ; D. Nicolás Blanco; D. Miguel García Carrasquedo; D. Francisco Es cudero; D. Ildefonso Ruiz del Rio; D. Luis Gargollo; D. Josef López del Di…</t>
  </si>
  <si>
    <t>Gu, Pedro</t>
  </si>
  <si>
    <t>Pedro Gu</t>
  </si>
  <si>
    <t>…mitir S* A. R. con aquella bondad que la caracteriza* D. Isidoro Montenegro,, caballero pensionado de la Real y distinguida orden de Carlos m, gentilhombre de cámara de S. M. &amp;c.; D. Pedro Gu tiérrez, coronel de los Reales egércitos, caballero de la orden de Santiago, secretario de S. M. con egercicio de decretos &amp;c., y D. Manuel Alejo Gó mez Meneses tuvieron á su tiempo la honra de felicitar á S. M. con el plau sible motivo del embarazo de la Rei…</t>
  </si>
  <si>
    <t>Gu, Victoriano</t>
  </si>
  <si>
    <t>Victoriano Gu</t>
  </si>
  <si>
    <t>…entes autos sobre denuncia de varias posesiones y tierras, sitas en la villa y término de Mejorada del Campo: y por cuanto en dichos autos son interesados los hijos y herederos de D. Victoriano Gu erra y Doña Lucía Briones, difuntos, vecinos que fueron de la enunciada villa, se les cita, llama y em plaza por el término de 20 dias, según lo decretado por dicha superioridad , para que dentro de ellos acudan á usar de su derecho en la referida Real junta…</t>
  </si>
  <si>
    <t>Guadarrama, Josefa</t>
  </si>
  <si>
    <t>Josefa Guadarrama</t>
  </si>
  <si>
    <t>…iedad , y otros porque son acreedores; que si lo hiciere se le oirá, ó en su defecto se proveerá lo que haya lugar sin mas ci tarle ni emplazarle. Habiendo fallecido en esta corte Doña Josefa Guadarrama, que con Real per miso vendía una agua para teñir el pelo de color negro, castaño ó rubio de una ma nera permanente y sin perjuicio alguno en la salnd, se hace saber al publico ha llarse de venta una porción considerable de dicha agua á los mismos precios .en…</t>
  </si>
  <si>
    <t>Guarda, Ramón Nadal y</t>
  </si>
  <si>
    <t>Ramón Nadal y Guarda</t>
  </si>
  <si>
    <t>…del Sr. D. Joaquín Almazan, del Consejo de S. M«, teniente de corregidor de esta muy heroica villa, se cita de nuevo, llama y emplaza* á todos los acreedores á la testamentaría de D. Ramón Nadal y Guarda, vecino y del comercio que fue de esta corte, para que en el término de 60 dias, contados desde el 14 de este mes, comparezcan por sí ó por medio de sus apoderados con poder bastante á usar de su derecho ante dicho señor juez, y por la escribanía del número d…</t>
  </si>
  <si>
    <t>Guardamino, Manuel</t>
  </si>
  <si>
    <t>Manuel Guardamino</t>
  </si>
  <si>
    <t>…mate de doce á una en la audiencia de S. S., una casa sita en el lugar de Ranero, valle de Carranza, encartaciones de Vizcaya y sitio de la Car rera, lindante con otras de María y D. Manuel Guardamino, con piso principal y segundo que hace de sobrado, y demas oficinas correspondientes: un solar en el si tio del Corral, lindante con los mismos: 2i| obreros de tierra labrantía en dife rentes puntos del pueblo, lindantes también con tierras de dichos María y…</t>
  </si>
  <si>
    <t>Gudal, Pedro</t>
  </si>
  <si>
    <t>Pedro Gudal</t>
  </si>
  <si>
    <t>…las re compensas que se establecen con el fin de aumentar la población; pues para esto basta dispensar libertad y seguridad al egercicio de las industrias”: sobre que se egercitó D. Pedro Gudal. —,,Lo$ impuestos siempre afectan á los ma nantiales de la producción”: sobre lo que disertó D. Juan María Biec. Fue suma la complacencia que manifestaron tanto el director segundo co mo los socios y demas concurrentes al ver lo arreglado de Tos discursos de…</t>
  </si>
  <si>
    <t>Guer, Juan de Dios</t>
  </si>
  <si>
    <t>Juan de Dios Guer</t>
  </si>
  <si>
    <t>…ndose acreedores á la pública estimación para ser algún dia útiles al Rey y al estado, y dieron las gracias al expresado direc tor, al segundo maestro D. Manuel Orozco ,al tercero D. Juan de Dios Guer rero, y á los ayudantes por el zeloy exactitud con que desempeña cada uno sus deberes. Los jovenes que sobresalieron en todos Tos ramos fueron D. Demetrio Vasconi, D. Francisco Rodríguez Sánchez, D. Mariano Guerrero, D. Josef Vega Serien, D. Francisco Cívico…</t>
  </si>
  <si>
    <t>Guerra, Dionisio Perez</t>
  </si>
  <si>
    <t>Dionisio Perez Guerra</t>
  </si>
  <si>
    <t>…de Santelices, Facundo Calleja, Juan Mejorada, Pedro de la Peña, Santiago Vallalado , D. Juan Miguel Alcalá, D. Francisco García de la Penilla, Juan Fer nandez, Baltasar Puebla , D. Dionisio Perez Guerra, Sebastian Bazan, D. Blas Mar tinez y D. Antonio Albo; apercibidos que si no lo hiciesen por sí ó sus legítimos representantes, ó sus herederos en el caso de haber fallecido alguno de elios, les parará el perjuicio que haya lugar, y se procederá sobre dichos…</t>
  </si>
  <si>
    <t>Guerra, Jacobo</t>
  </si>
  <si>
    <t>Jacobo Guerra</t>
  </si>
  <si>
    <t>…ador, y á la necesidad que tiene todo español de saber los principios de su religión , y leer, escribir y contar. En seguida fueron examinados por el párroco director y el maestro D. Jacobo Guerra y otros varios los de la última clase en leer por silabario, compuesto por el mencionado párroco. Luego 36 de ambos sexos fueron examinados en las reglas del arte caligráfico , cuyo compendio extractado del de Torio de la Riva les compuso su director para que…</t>
  </si>
  <si>
    <t>Guerra, Juan Alvarez</t>
  </si>
  <si>
    <t>Juan Alvarez Guerra</t>
  </si>
  <si>
    <t>…a imprenta de Dávila , calle de Barrionuevo, y en Jas librerías de Sojo, calle de las Carretas, y de Novillo, calle de la Concepción Gerónima. Correcciones al trillo inventado por D. Juan Alvarez Guerra, egecutadas por D. Juan Francisco Gutiérrez, maestro armero de artillería por S. M. en la plaza de Madrid, y maestro ¡nstrumentario del Real museo militar de dicho cuerpo; apro badas y mandadas publicar por la Real sociedad económica de Valladolid. La ori gin…</t>
  </si>
  <si>
    <t>…en la tienda de comercio de D. Hemeterio Sebastian: su precio en Madrid 20 rs. en pasta y 16 á la rústica, y en las provincias dos reales mas. Correcciones al trillo inventado por D. Juan Alvarez Guerra, egecutadas por D. Juan Francisco Gutiérrez, aprobadas y mandadas publicar por la Real sociedad económica de Valladolid. Se hallará en la librería de Castillo, frente á S. Felipe el Real. Estampa nueva de S. Mariano, protector de arrepentidos, que se venera e…</t>
  </si>
  <si>
    <t>Guerrero, Antonio</t>
  </si>
  <si>
    <t>Antonio Guerrero</t>
  </si>
  <si>
    <t>496</t>
  </si>
  <si>
    <t>…a con las ordenanzas de los agrimensores. Se-hallará en la librería de Dávila, calle de las Carretas. Estampa nueva del glorioso S. Isidro Labrador, patrón de Madrid, dibujada por D. Antonio Guerrero, y.grabada en cuartilla de marca mayor por D. Luis Noserct* So hallará á g rs. en el almacén de estampas de la calle Mayor, frente á la casa del conde de Oñatc, . • r, EN LA IMPRENTA REAL.</t>
  </si>
  <si>
    <t>…de 16 de Noviembre {¡!timo. Retrato de la Sra. Doña MARrA ISABEL DE BRAGANZA I RErNA de España, copiado del esculpido por D. Josef Gillés, primer escultor de cámara, dibujado por D. Antonio Guerrero, y grabado por D. Alejandro Blanco, dedicado al REY nuestro St!Ílor, y aprobado por la Real academia de S. Fernando, en cuartilla de marca mayor, á 8 rs. en negro y 16 i lumÍnado. Se hallará en el almacen de estampas, calle Mayor, frente á la casa del conde d…</t>
  </si>
  <si>
    <t>…stampa nueva del glorioso S. Emigdio, abogado contra el ímpetu de los terremotos, con la oración para implorar los divinos auxilios por la interce sión de este santo: dibujado por D. Antonio Guerrero, y grabado en cuartilla de marca mayor por D. Francisco Suria*. asimismo dos diferentes Santas Teresas de Je sús, con otras muchas de igual tamaño de santos y santas de la mayor devoción, a 3 rs. cada una: hay otras muchas de diferentes tamaños, y todas ellas…</t>
  </si>
  <si>
    <t>Guerrero, Cayetano</t>
  </si>
  <si>
    <t>Cayetano Guerrero</t>
  </si>
  <si>
    <t>…a junta de los rebeldes; D. Ignacio Sandoval, titulado teniente coronel de la gavilla de Rayón ; D. Éstéban Bar bero, capitán de la misma; D. Cayetano Ibarra, secretario de Rayón; Don Cayetano Guerrero, teniente coronel; Francisco Hernández ,soldado; Josef María Talavera, idern; Josef Rafael Huerta, alférez; Josef Ramón Bravo, administrador de alcabalas; Josef María Vídaña , alférez; D. Simón Orozco, ídem ; D. Antonio Tavera, ídem , y subdelegado del pueblo…</t>
  </si>
  <si>
    <t>Guerrero, Josef</t>
  </si>
  <si>
    <t>Josef Guerrero</t>
  </si>
  <si>
    <t>…nemigas favorecidas de su mucho andar sé burlaban de nosotros, haciendo mil vejaciones á nuestra vista ; pero una expedición de fuerzas\sutiles mandadas por el alférez de milicias D. Josef Guerrero, coman dante del bergantín Maortua, apresó sobre Cariaco tres de ellas el día 2 del</t>
  </si>
  <si>
    <t>…ciones. En el punto de Carupano fueron apresados el místico insurgente Zaraza y la balandra la Aurora.Esta , que estaba perfectamente armada, fue tomada al abordage por el bizarro teniente D. Josef Guerrero, que mandaba la fle chera Voladora. El brigadier Canterac elogia á este distinguido oficial, á quien recomienda particularmente. Tomadas todas ks disposiciones para la ocupación de la isla Margarita,</t>
  </si>
  <si>
    <t>Guerrero, Manuel</t>
  </si>
  <si>
    <t>Manuel Guerrero</t>
  </si>
  <si>
    <t>…u aplicación y adelantamiento, sin embargo sobresalió entre todos Don Josef Lajusticia. En la sintaxis D. Antonio Bueno, D. Felipe Grima, Don Mariano Laplana, D. Mariano Martínez, D. Manuel Guerrero y D. Fran cisco Palacios trataron de todo lo concerniente á la sintaxis, en la que tam bién se acreditaron de aplicados, sobresaliendo entre todos D. Antonio Bue no , concluyendo ambos actos con su dia D. Eloy Pascual con una oración latina. El segundo dia abrió el act…</t>
  </si>
  <si>
    <t>Guerrero, María</t>
  </si>
  <si>
    <t>María Guerrero</t>
  </si>
  <si>
    <t>…créditos. Los vecinos de la ciudad de Antequera que resultan de la adjunta nota firmada por el subdelegado de Rentas de ella. Señores Meibilas y hermanos 3® rs.: Diego Morían 10: Doña María Guerrero 6: D. Diego de Reina 10: D. Francisco de Reina 10: Juana Montilla 10: Francisco Moyano 20: Fran cisco de Luque ?o: Miguel Palomo 25: Alonso Atañe 8: María Montilla 8: D. Joaquín de Lara 80: D. Antonio Duran 80: D. Diego de la Huerta 40: Juan Tardan 10: viuda…</t>
  </si>
  <si>
    <t>Guerrero, Mariano</t>
  </si>
  <si>
    <t>Mariano Guerrero</t>
  </si>
  <si>
    <t>…udantes por el zeloy exactitud con que desempeña cada uno sus deberes. Los jovenes que sobresalieron en todos Tos ramos fueron D. Demetrio Vasconi, D. Francisco Rodríguez Sánchez, D. Mariano Guerrero, D. Josef Vega Serien, D. Francisco Cívico , D. Salvador Mifsud, D. Manuel Gimé nez y D. Diego Meras. Madrid 21 de Febrero» El dia 19 del. pasado tuvo la honra de besar la Real mano de S. M. una diputación de la suprema asamblea de la Real&gt; y distinguida orde…</t>
  </si>
  <si>
    <t>Guerrero, Salvador</t>
  </si>
  <si>
    <t>Salvador Guerrero</t>
  </si>
  <si>
    <t>…i.° de Noviembre. El Rey nuestro Señor se ha servido conceder el vireinato de Santa Fe al mariscal de campo D. Juan Saxnano: el gobierno del castillo de Hostalrich, en Cataluña, á D. Salvador Guerrero, corone) agregado al regimiento de in fantería de Valencey : la ayudantía del mismo castillo á D. Manuel Arnau, subteniente del regimiento de infantería de Jaén ; y la primera de la plaza de Santoña, en Castilla la Vieja, á D. Francisco Pardo, teniente del re…</t>
  </si>
  <si>
    <t>Gui, Luis</t>
  </si>
  <si>
    <t>Luis Gui</t>
  </si>
  <si>
    <t>…bertad de aquel príncipe de del antiguo Rey de Suecia, que se hallaba entonces en el mismo país. PRUSIA. Berlín 22 de Marzo. El Rey se ha dignado conferir el título de Príncipe al conde Luis Gui llermo Ernesto de Bentheim. El ministro del Interior ha publicado últimamente una circular, en que dice lo siguiente: ^ „ Acabo de encargar á las regencias provinciales que examinen las críti cas y las acusaciones insertas en los periódicos, y que obliguen á…</t>
  </si>
  <si>
    <t>Guilleminot</t>
  </si>
  <si>
    <t>…añejo. En efecto poco después salió Mr. Watson á la ventana, saludó muchas veces al pueblo, y los espectadores se retiraron muy contentos. , FRANCIA. Parts 14 de Junio« El general conde Guilleminot, comisario del Gobierno francés para la demarcación de las fronteras del E», y el barón de Berckheim , de parte del gran ducado de Badén, acaban de abrir en Basilea sus conferencias, á las que asisten ingenieros franceses y badeses. El objeto de esta reunión…</t>
  </si>
  <si>
    <t>Güitian, Alejandro Alvarez de</t>
  </si>
  <si>
    <t>Alejandro Alvarez de Güitian</t>
  </si>
  <si>
    <t>…manos de S» E. para su superior conocimiento y sa tisfacción. ,,Dios guarde á vmd. muchos años. Cuartel subalterno de Huautla Fe brero 24 de 1817. = Antonio Cortés. = Sí. teniente coronel D. Alejandro Alvarez de Güitian.” Madrid 19 de Diciembre. 1 ‘ El colegio académico de profesores de primeras letras de esta corte, es tablecido bajo la inmediata protección del Real y supremo Consejo de Cas tilla, deseando facilitar y perfeccionar la parte de educación que le está con fiada…</t>
  </si>
  <si>
    <t>Gurtubay, Eugenio</t>
  </si>
  <si>
    <t>Eugenio Gurtubay</t>
  </si>
  <si>
    <t>…otas distin guidos de Méxicio; á D. Antonio García Jurado; al teniente de navio Don Félix Gastambide ; al teniente coronel D. Antonio Conti, y al capitán de milicias disciplinadas D. Eugenio Gurtubay. El cuerpo general de comercio de la ciudad de Zaragoza ha dirigido á S. M. la exposición siguiente: ,,Señor: La felicidad nace de la abundancia, y esta fija su morada don de hay sistema y se patrocina la industria. El precioso Real decreto de 30 de Mayo últi…</t>
  </si>
  <si>
    <t>Gutiér, Nicolás</t>
  </si>
  <si>
    <t>Nicolás Gutiér</t>
  </si>
  <si>
    <t>…ien se sirva elevarlo todo á ia su perioridad del Exorno, Sr. virey. Dios guarde á vmd. muchos años. Tenancingo y Febrero 27 de 1817.= Josef Fernandez de Córdoba. = Sr. comandante general D. Nicolás Gutiér rez. (Se continuarán.) , Bilbao s&gt; de Julio. Los profesores de delincación que deseen optar á la cátedra de esta clase que se halla vacante en el colegio de Santiago de esta villa, acudirán con sus solicitudes al director del mismo colegio, incluyendo relació…</t>
  </si>
  <si>
    <t>Gutiérrez, Alejandro</t>
  </si>
  <si>
    <t>Alejandro Gutiérrez</t>
  </si>
  <si>
    <t>…ales, tasada en 87604 rs. sin mas carga que la de alumbrado y serenos. Quien quisiere hacer postura á la referida casa acuda ante dicho señor te niente, y escribanía del número de D. Alejandro Gutiérrez, donde se admitirán las que se hicieren siendo justas y arregladas, y se enterará á los postores de cuanto necesiten. Se halla vacante la plaza de médico titular de la villa de S. Asensio, en la Ríoja, cuya población es de mas de 300 vecinos: su dotación es d…</t>
  </si>
  <si>
    <t>…ente con la del Rey, tasada en 5337 rs. 24 mrs. La persona que quisiese hacer postura á dicha parte de casa acuda ante dicho señor teniente corre gidor, y escribanía del número de D. Alejandro Gutiérrez, donde se admitirán las que se hagan siendo justas y arregladas. En virtud de providencia del Sr. D. Josef Salvador López del Pan, del Consejo de S. M., alcalde de casa y corte, dada en 16 del corriente, y refrendada por el.escribano de provincia y comisiones…</t>
  </si>
  <si>
    <t>…16, manz. 97, ta sada en 191920 rs., la cual se vende para pago de acreedores. Quien quisiere hacer postura á dicha casa acuda al juzgado de dicho señor y escribanía del número de D. Alejandro Gutiérrez, donde se admitirán las que se hagan siendo justas y ar regladas. SUPLEMENTO</t>
  </si>
  <si>
    <t>…de providencia del Sr. D. Joaquín de Almazan , del Consejo de S. M., teniente corregidor de esta muy heroica villa', su fecha 5 dét corriente v refrendada del escribano del número D. Alejandro Gutiérrez, se ha mandado sacar á pública subasta una casa sita en la calle del Fúcar, barrios de Jesús Nazareno, señalada con el núnv 2 2 de la manz^ 2 50, comprensiva de 8245^ pies cuadrados superficiales con lo que la corresponde de sus medianerías, tasada en 18640Ó…</t>
  </si>
  <si>
    <t>Gutiérrez, Andrés</t>
  </si>
  <si>
    <t>Andrés Gutiérrez</t>
  </si>
  <si>
    <t>…a com pañía del 6° batallón, en el departamento de Cartagena, en donde fue licenciado por enfermo en 1796; y se suplica á quien tenga noticia de su paradero se sirva comunicarlo á D. Andrés Gutiérrez, procurador de los Reales Consejos, que vive calle de la Concepción, núm. 19, cuarto 3.0, quien tiene que hacer saber á dicho D. Antonio un asunto que le interesa. Carta y defensa de Paracueiios, escrita por D. Fernando Perez á un sobrino que se hallaba en pe…</t>
  </si>
  <si>
    <t>Gutiérrez, Gabriel</t>
  </si>
  <si>
    <t>Gabriel Gutiérrez</t>
  </si>
  <si>
    <t>…para la de S. Pedro Man rique á D. Antonio Zapatero y Pomar: para la de Herrera del Duque á Don Pedro Cano, alcaide mayor que era de Siruela; y para la de Quintaniiia de Sumuño á D. Gabriel Gutiérrez. En la gaceta núm. 155 del sábado 14 de Diciembre de 1816 se publico en artículo de oficio el siguiente aviso ministerial: ,, F1 Rey se ha dignado conceder á la comunidad de benedictinos del nuevo Monserrat de esta corte la gracia de cuatro títulos de Castill…</t>
  </si>
  <si>
    <t>Gutiérrez, Ildefonso</t>
  </si>
  <si>
    <t>Ildefonso Gutiérrez</t>
  </si>
  <si>
    <t>761</t>
  </si>
  <si>
    <t>…emas de los 2ó re beldes que con Santos se han presentado lo han hecho hasta ico almas entre hombres, mugeres y niños, los cuales con aquel y la sección de caballería del mando de D. Ildefonso Gutiérrez ha entrado en Cosamaluapan, y hecho aquellos el juramento de fidelidad. Estos completarán el número de 1®, que por el mismo rumbo lo han hecho desde que mando este cantón. Aquel ofi cial se ha extendido hasta Sancampus sin encontrar enemigo alguno; me ha ofre…</t>
  </si>
  <si>
    <t>…ene migo en diferentes ocasiones en partidas considerables que existen tranquilas y felices en el cantón. El 16 del corriente se presentó al comandante de la sección de caballería D. Ildefonso Gutiérrez el cabecilla Ignacio Santos con varios hombres de su gavilla, armas de fuego y bastante ganado entre caba llos y yeguas, cuya noticia me apresuro á comunicar á V. S. recomendan do por ahora, y mientras mas circunstanciadamente hablo á V. S. sobre es te partic…</t>
  </si>
  <si>
    <t>Gutiérrez, Josef Marcos</t>
  </si>
  <si>
    <t>Josef Marcos Gutiérrez</t>
  </si>
  <si>
    <t>…o. En las mismas librerías se hallarán las demas obras del autor. Cuaresma, pláticas morales y panegíricos del ex-jesuita D. Gerónimo Trento, traducidos del toscano al español por D. Josef Marcos Gutiérrez: cuatro tomes en 4.0 Se hallarán en ia librería de Castillo, á 64 rs. en pasta y 48 en pergamino. El duelo juzgado en el tribunal de la razón y del honor: escrito en francés por J. Lapanótlse, capifahi^e dragones; y traducido al español por el Dr. D. Baltasar…</t>
  </si>
  <si>
    <t>Gutiérrez, Juan</t>
  </si>
  <si>
    <t>Juan Gutiérrez</t>
  </si>
  <si>
    <t>…s. El dia 7 deí presente mes tuvieron la honra de cumplimentar á S. M. por su efectuado matrimonio, á nombre de la Real ciudad de S. Fernando, el administrador de correos de Soria D. Juan Gutiérrez; el sargento mayor retirado de Voluntarios distinguidos de aquella ciudad D. Josef María Malpica, y el teniente coronel retirado D. Salvador Canle; de los cuales el pri mero dijo entre otras cosas lo siguiente: „Señor: Si las Asturias en el siglo vm tuvieron…</t>
  </si>
  <si>
    <t>Gutiérrez, Juan Francisco</t>
  </si>
  <si>
    <t>Juan Francisco Gutiérrez</t>
  </si>
  <si>
    <t>…uevo, y en Jas librerías de Sojo, calle de las Carretas, y de Novillo, calle de la Concepción Gerónima. Correcciones al trillo inventado por D. Juan Alvarez Guerra, egecutadas por D. Juan Francisco Gutiérrez, maestro armero de artillería por S. M. en la plaza de Madrid, y maestro ¡nstrumentario del Real museo militar de dicho cuerpo; apro badas y mandadas publicar por la Real sociedad económica de Valladolid. La ori ginalidad de este trillo y las ventajas que se…</t>
  </si>
  <si>
    <t>…o Sebastian: su precio en Madrid 20 rs. en pasta y 16 á la rústica, y en las provincias dos reales mas. Correcciones al trillo inventado por D. Juan Alvarez Guerra, egecutadas por D. Juan Francisco Gutiérrez, aprobadas y mandadas publicar por la Real sociedad económica de Valladolid. Se hallará en la librería de Castillo, frente á S. Felipe el Real. Estampa nueva de S. Mariano, protector de arrepentidos, que se venera en la iglesia de carmelitas descalzos de Barc…</t>
  </si>
  <si>
    <t>Gutiérrez, Manuel María</t>
  </si>
  <si>
    <t>Manuel María Gutiérrez</t>
  </si>
  <si>
    <t>…incipies fundamentales de esta ciencia, y una tabla analítica de materias: obra de dicada por el autor al Emperador actual de las Rusias Alejandro 1, y traducida al castellano por D. Manuel María Gutiérrez y D. Manuel Antonio Rodríguez, quie nes han añadido un prólogo original y notas interesantes: tres tomos en 8.° pro longado. Se vende en la librería de Sojo, calle de las Carretas, ¿51 rs. en rústica y 60 en pa3ta; y el epítome suelto á 6 rs. en rústica.—En la misma librería se…</t>
  </si>
  <si>
    <t>…rita en francés por el Excmo. Sr. Dcstutt, conde de Tracy, par de Francia, miembro del Instituto nacional y de la sociedad filosó fica de Filadelfía, y traducida al castellano por D. Manuel María Gutiérrez, indi viduo de varios cuerpos literarios. Se hace ver en ella que el estado social es el na tural del hombre: que la sociedad no consiste sino en cambios, y que estos cambios constituyen el concurso de fuerzas, el aumento y conservación de luces, y la divi si…</t>
  </si>
  <si>
    <t>Gutiérrez, Nicolás</t>
  </si>
  <si>
    <t>Nicolás Gutiérrez</t>
  </si>
  <si>
    <t>Soo ESPAÑA. México 6 de Marzo. El Excmo. Sr. virey ha recibido los partes siguientes : Del teniente coronel y comandante D. Nicolás Gutiérrez. Excmo. Sr. :En oficio de 20 del próximo pasado Febrero anuncié á V.E. que dentro de 20 dias se conseguiría la aprehensión del infáme Vargas, con destrozo de sus gavillas, ó el exterminio de estas cuando no se decidiesen á abrazar la gracia del indulto» por n…</t>
  </si>
  <si>
    <t>Gutiérrez, Pedro</t>
  </si>
  <si>
    <t>Pedro Gutiérrez</t>
  </si>
  <si>
    <t>…rvicio de V. M. y el colmo de sus felicidades.” Los Sres. D. Isidoro Montenegro, caballero pensionado de la Real y dis tinguida orden de Carlos m, gentilhombre de cámara de S. M.; D. Pedro Gutiérrez, coronel de los Reales egércitos, caballero de la orden de Santia go , secretario de S, M. con egercicio de decretos , y D. Manuel Alejo Gó mez Meneses han tenido la honra de felicitar á S. M., á nombre de la villa de Aranda de Duero, por el feliz alumbramien…</t>
  </si>
  <si>
    <t>Guzman, Josef María Anchuelo y</t>
  </si>
  <si>
    <t>Josef María Anchuelo y Guzman</t>
  </si>
  <si>
    <t>Para el de Cuenca en Salamanca. Rector D. Hermenegildo Fernandez Cuadrillero. Consiliario i.° D. Juan Pedro Da^uerre y Larroder. Idem 2.0 D. Josef Diaz Rábago. Idem 3.0 Don Josef María Anchuelo y Guzman. Capellán D, León Ramón del Valle. Para el de Oviedo en Salamanca. Rector D. Manuel Luciano Alemán. Consiliario i.° D. Manuel Barrio Ayuso. Idem 2.0 D. Antonio González Miranda. Idem 3.0 D. Diego Suarez. Capellán D. Domingo Ruirnonte. En puntual egecucion de…</t>
  </si>
  <si>
    <t>Guzman, Josef María Vaca de</t>
  </si>
  <si>
    <t>Josef María Vaca de Guzman</t>
  </si>
  <si>
    <t>…as adiciones á 5 cuartos, ambas en papel.—Ademas se venden suel tas algunas de las obras premiadas de la primera edición, como las Naves de Cortés destruidas, canto en octavas por D. Josef María Vaca de Guzman, á 2§ rs. — Granada rendida, del mismo, romance endecasílabo á rs-----La toma de Grana da, por D. Efren Lardnaz y Morante, á i\ rs. — Batilo, égloga en alabanza de la vida del campó, por D. Juan Menendez Valdés, á rs. — La felicidad de la'vida del campo, églo…</t>
  </si>
  <si>
    <t>Hacienda, Secretario del Despacho de</t>
  </si>
  <si>
    <t>Secretario del Despacho de Hacienda</t>
  </si>
  <si>
    <t>…su caida; y sus triunfos, no menos funestos á estos último?, solo servirían para remachar los grillos de su servidumbre.” ARTICULO DE OFICIO. Circular del Ministerio de Guerra. Al Sr. Secretario del Despacho de Hacienda digo con esta fecha lo que sigue: Enterado el Rey de la exposición del Tesorero general, que el antecesor de V. E. en ese Ministerio insertó al mió en 31 de Octubre de 1815, relati va á que en los despachos de los Oficiales retirados en clase de dispersos se…</t>
  </si>
  <si>
    <t>…del Infantado, su presi dente , la Real orden que dice asi: Excmo. Sr.: El Sr. Secretario del Despacho de la Guerra me dice en ofi cio , su fecha 4 del corriente, lo que sigue: Ai Sr. Secretario del Despacho de Hacienda digo con esta fecha lo si guiente: ,, Para que el nuevo sistema de Real Hacienda tenga el éxito que el Rey nuestro Señor se propuso al expedir el Real decreto de 30 de Mayo úl timo, ha tomado en su soberana consideración el alivio de las obligaciones de aloja…</t>
  </si>
  <si>
    <t>…posición, señalando con su Real mano el decreto de que se contestase á la ciudad, co mo se ha verificado. Circular de la Tesorería general. Con fecha 26 de Julio último me dice el Sr. Secretario del Despacho de Hacienda lo siguiente: ,,Con esta fecha digo al presidente de la junta del monte pío de Oficinas lo que sigue: ,, En Reales resoluciones de 28 de Mayo y 6 de Junio últimos, comunicadas por el Secretario del Consejo de Guerra á este ministerio, se sir vió el Rey determ…</t>
  </si>
  <si>
    <t>1134</t>
  </si>
  <si>
    <t>…reconocimiento como expresión pú blica, deliberada, sincera y firme del ayuntamiento de Santander con todos sus habitantes.” Circular de la Dirección general de Rentas. El Excmo. Sr. Secretario del Despacho de Hacienda nos comunica, con fecha de 4 del corriente, la Real orden que sigue: ,,Con fecha 2 del actual me dice el Sr. mayordomo mayor de S. M. lo que sigue: „ El Rey nuestro Señor, conforme á lo consultado por la Junta supre ma Patrimonial, se ha servido resolver que…</t>
  </si>
  <si>
    <t>…ado mas allá, mandando que de los granos pertenecientes á las Rentas Reales se les repartiesen trigo y ce bada para sembrar. Circular de la Dirección general de Rentas. El Exento. Sr. Secretario del Despacho de Hacienda nos comunica coa fecha 9 del corriente la Real orden que sigue: Con esta fecha digó al Sr. capitán general de Cataluña lo*siguIente: ,, Enterado el Rey nuestro Señor de la exposición de V. E. de 2 de Se tiembre último, y de la segunda parte de otra del intend…</t>
  </si>
  <si>
    <t>…artirá la cantidad restante. Lo comunico á V. de Real orden para su noticia y cumplimien to. Palacio 23 de Noviembre de 1817. Circular de la Dirección general de Rentas. El Excmo. Sr. Secretario del Despacho de Hacienda con fecha 14 det actual nos ha comunicado la Real orden que sigue: „E1 Rey nuestro Señor &gt; teniendo presente la naturaleza de los pósitos</t>
  </si>
  <si>
    <t>…r en nombre del Rey nuestro Señor á los individuos que se hubieren distinguido en ellas. Circular de la Dirección general de Rentas, , Con fecha 9 del corriente nos dice el Excmo. Sr. Secretario del Despacho de Hacienda lo que sigue: ,, Habiendo dado cuenta al Rey de una exposición del alcalde primero del lugar de Villamalea, en la provincia de Cuenca, quien preguntaba si debía ó no pagar un vecino Ja cuota de contribución correspondiente al pro ducto de 5© rs. que ganó jug.…</t>
  </si>
  <si>
    <t>Hagt, León</t>
  </si>
  <si>
    <t>León Hagt</t>
  </si>
  <si>
    <t>…viso, que puede ser muy útil á ios navegantes. Las fragatas de la compañía ruso-americana nombradas la Kutusojf, su comandante el capitán de fragata de la marina imperial de Rusia D. León Hagt meister , y la Suvarojf, su capitán el teniente de la armada imperial el se ñor Gonasindin, que navegaban juntas desde Cronstadt para la costa N. O. de América por el cabo de Hornos, y estuvieron últimamente en el Callao, descubrieron en su viage actual, hall…</t>
  </si>
  <si>
    <t>Hall</t>
  </si>
  <si>
    <t>…motivos que le dirigen; y sí tratan de presentar al público sus deseos «como hechos, basta refutarlos sencillamente con la exacta verdad."* GRAN BRETAÑA. Londres 20 de Octubre. El capitán Hall del navio de S. M. la Lira ha llegado esta mañana de la India con pliegos del marques de Hastings, comunicando, según parece, que los máratas habían comenzado repentinamente y en varios puntos las hostilidades contra nosotros. El capitán Hall fue enviado desd…</t>
  </si>
  <si>
    <t>…o á Poonah á principios de Mayo, y apoderádose del Peshwa, obli garon á este á acceder á las condiciones que se le propusieron, y á entregar tres de sus principales fortalezas. El capitán Hall salió de Calcuta el 19 de Abril, de Madras en i.° de Junio, y de Sta. Helena en 14 de Agosto. Ha traído pliegos no solo del mar ques de Hastings y de Mr. Elliot, sino también del gobernador Farquhar y de sir Hudson Lowe. FRANCIA. Parts 20 de Octubre. Carlos M…</t>
  </si>
  <si>
    <t>Hals</t>
  </si>
  <si>
    <t>…acusación fiscal. ,,Se condena á muerte al teniente general Staífeldt, acusado de haber im pedido hacer un movimiento al egército en retirada sin motivo y sin orden. „El teniente coronel Hals , acusado y convencido de haber entregado por capitulación la fortaleza de Fredericstad pudiendo defenderse todavía, será arcabuceado por la espalda. „ Los reos Staífeldt y Hals están ademas condenados en costas &amp;c.” Es regular que estas sentencias no se egec…</t>
  </si>
  <si>
    <t>Hampin</t>
  </si>
  <si>
    <t>…ción del León, que presenta la apariencia de un cometa muy lejano, y no puede verse sin el au xilio de un buen telescopio: está á pnos 10 grados N. N. E. de la estrella Régulo. El almirante Hampin , que ha partido últimamente para la isla de Santa Elena, debe residir en ella, y se le está construy endo la casa en que ha de vivir. FRANCIA. Marsella 21 de 'Mayo. Los estados berberiscos están desavenidos entre sí: parece que el. Dey de Argel quiere declar…</t>
  </si>
  <si>
    <t>Harvey</t>
  </si>
  <si>
    <t>…e se sepa adonde debe dirigirse ni cual sea su objeto, bien que muchos son de opinión que su destino es Argel ó Buenos-Aires. El duque de Wellington ha llegado aquí acompañado d*l coronel Harvey, y ha sido recibido del Príncipe Regente con todas las distinciones posi bles. El mismo dia cumplimentaron á S. A. R. muchos personages de la pri-</t>
  </si>
  <si>
    <t>…irec ción no se sabia á punto fijo. Pasaba esta calle por muy cerca del templo de la Concordia. _ GRAN BRETAÑA. Londres jo de Mayo. En la sesión del Parlamento de 7 de este mes el almirante Harvey anun ció á la cámara de los Comunes que propondría se nombrase una comisión particular para indagar las causas que motivaron la explosión de la caldera del barco de vapor de Norwick que iba á Yarmourh, y para averiguar el medio mas seguro de impedir en adelan…</t>
  </si>
  <si>
    <t>Haunaum</t>
  </si>
  <si>
    <t>rau, quien mando al barón de O.... saliese desterrado del territorio austríaco. „E1 secretario Haunaum desafio al barón de O....; pero este lo retardó con varios pretextos. ,, El caballero Schiavini está encargado de escribir la relación del viage de la Princesa en Oriente.” SUIZA. Lausana 29 de Abril. Todas las cartas de los cantones orientales dan las notici…</t>
  </si>
  <si>
    <t>Heaviside</t>
  </si>
  <si>
    <t>…cado algunos individuos del buque llamado Elphinston , con el objeto de cortar un árbol, fueron cercados por una partida de malayos, que mataron é hirieron á algu nos de ellos. El capitán Heaviside perdió un brazo en este reencuentro; Mr. Mundy , segundo comandante, y Mr. W. M. Donald, cirujano, fueron inhumanamente asesinados. Se habla mucho de una expedición marítima de alguna importancia que se está preparando , y la cual parece que se compondrá de a…</t>
  </si>
  <si>
    <t>Heideck, Juan Josef</t>
  </si>
  <si>
    <t>Juan Josef Heideck</t>
  </si>
  <si>
    <t>…llegue á noticia de todos, y por sí ó legítima repre sentación concurran á ella; previniendo que al que no lo hiciere le parará el per juicio que haya lugar. La Fe triunfante, por D. Juan Josef Heideck, profesor de lenguas orientales, y autor de la obra Defensa de la religión: un tomo en 4.0 Se hallará en la librería de Rodríguez, calle de las Carretas. Instrucción de un padre á su hijo que entra en el servicio militar-, folleto en 8.° marquiiia, impreso en…</t>
  </si>
  <si>
    <t>Heidek, Juan Josef</t>
  </si>
  <si>
    <t>Juan Josef Heidek</t>
  </si>
  <si>
    <t>…vo barco las demás piezas que completan la má quina, y es de esperar que el dia de S. Juan tremole su bandera con los pri meros pasageros en la bahía de Cádiz. Madrid 18 de Junio. D. Juan Josef Heidek, profesor de lenguas orientales, compuso y publi có en esta corte á fines del año de 1815 la obra intitulada la Fe triunfante, que dedicó á S. M., y con su Real aprobación á los augustos Soberanos cris tianos de Europa. Desde luego presentó egemplares al Rey…</t>
  </si>
  <si>
    <t>Heiminster</t>
  </si>
  <si>
    <t>…el mundo, la cual se compone de dos buques, á saber: el Aníbal, que trajo á Europa al general Moreau, y el Suzvarow, que llegó hace poco tiempo de las colonias, los que mandará el capitán Heiminster, que ya hizo un viage semejante en 1806 en ti buque llamado,el Neva. La sociedad real y central de París ha determinado adjudicar en su sesión</t>
  </si>
  <si>
    <t>Hemiquez, Custodio</t>
  </si>
  <si>
    <t>Custodio Hemiquez</t>
  </si>
  <si>
    <t>…tos del citado capitán, para que en el término de 30 di&lt;*s, contados desde este anuncio, acudan al juzgado de esta capitanía general y escribanía princi pal de guerra del cargo de D. Custodio Hemiquez á exponer lo conveniente en la causa que se está siguiendo en virtud de Real orden en el referido juzgado sobre averiguar quienes fueron los culpantes de la citada muerte, que si asi lo hicieren se Jes oirá y guardará justicia en lo que Ja tuvieren; pero pasa…</t>
  </si>
  <si>
    <t>Henrique</t>
  </si>
  <si>
    <t>…artidos de Soria, Cuenca, Segovia y León de que se compone dicho hon rado concejo; y el primero dijo: ,,Señor: El honrado concejo de la Mesta (ó hablando según la declara ción del Sr. D. Henrique ív la Real cabaña de V. M.) es la que en este dia tiene el alto honor de postrarse á vuestros Reales pies con el importante mo tivo del feliz alumbramiento de la Reina nuestra Señora. „ Admirables han sido hasta ahora los prósperos sucesos con que el bra zo d…</t>
  </si>
  <si>
    <t>Henriquez, Custodio</t>
  </si>
  <si>
    <t>Custodio Henriquez</t>
  </si>
  <si>
    <t>…deres de los señores acreedores ausentes de estos reinos o de esta^ corte para representarlos en dicha junta, los presenten al juzgado y escribanía principal de guerra de cargo de D. Custodio Henriquez, sita en la calle del Príncipe, para que los señores síndicos cotejen y comprueben la legitimidad de las personas que tengan derecho á asistir y votar. En virtud de providencia de 15 del corriente mes del Sr. D. Manuel Josef de Arbizu, del Consejo de S. M., s…</t>
  </si>
  <si>
    <t>…ne de sitio 1696 pies, y está tasada últimamente en 68645 rs* I-a persona que quiera ha cer postura á ella acuda al referido juzgado y escribanía principal de Guerra del car go de D. Custodio Henriquez, sita en la calle del Príncipe, que se le admitirá siendo arreglada. Cualquiera persona que tenga derecho á los bienes que quedaron por muerte de D. Henrique Soulean, vecino y del comercio que fue en la calle del Carmen de es ta corte, acuda ante el Sr. D. Jo…</t>
  </si>
  <si>
    <t>Henriquez, Josef Ventura Caña y</t>
  </si>
  <si>
    <t>Josef Ventura Caña y Henriquez</t>
  </si>
  <si>
    <t>…ión y entrega de escritura. Por el correo de 5 de Marzo de este año se remitió desde Valencia de Alcánta ra á D. Domingo de S. Vicente, vecino de esta corte, una carta firmada por Don Josef Ventura Caña y Henriquez, laque incluia dos certificaciones de crédito de 15$ rs. cada una, dadas por la Dirección general de provisiones á favor de dicho Caña, y endosadas por este á S, Vicente, para que las presentase á la tesorería mayor; y habiendo padecido extravío, se suplica a…</t>
  </si>
  <si>
    <t>Henriquez, Miguel Sánchez</t>
  </si>
  <si>
    <t>Miguel Sánchez Henriquez</t>
  </si>
  <si>
    <t>…gía la protección que siempre había dispensado á dicha academia. Con efecto fueron electos á dicho fin los señores regidor D. Eustasio Vicente Moro , y procurador síndico ge neral D. Miguel Sánchez Henriquez, quienes pasaron al establecimiento de dicha academia á las cuatro de la tarde del referido dia 17 jy habiéndose dado principio ai acto, á presencia de un numeroso concurso, quedaron llenos de la mayor satisfacción al ver los progresos de las alumnas, manifes…</t>
  </si>
  <si>
    <t>Hermand</t>
  </si>
  <si>
    <t>…er pasado algunos dias en Wisbad.en , Em? y Francfort. GRAN BRETAÑA. Londres 24 de Julio. El tribunal supremo de Edimburgo ha decidido i pluralidad de votos, contra el dictamen de lord Hermand, que el tribunal de Glasgow podía con tinuar la causa formada á Juana Campbell, sordo-muda, acusada de haber ahogado á su hijo. Cada uno de los jueces presentó su voto fundado; y lord Hermand sostuvo en el suyo que la acusada , sorda y muda de nacimiento, no…</t>
  </si>
  <si>
    <t>Hermene</t>
  </si>
  <si>
    <t>…conceda permiso para proceder libremente á la venta del explicado solar, y les parará el perjuicio que haya lugar. En la ciudad de Cádiz por disposición del señor juez de lo civil D. Hermene gildo Rodríguez de Ribera, del Consejo de S. M., su oidor en la Real audiencia de Sevilla, y escribanía publica del cargo de D. Antonio Gouirand y Martínez, se está subastando por el término de 30 dias, á reserva de señalar el de su remate, una casa que demar…</t>
  </si>
  <si>
    <t>Hermosi, Juan Benito</t>
  </si>
  <si>
    <t>Juan Benito Hermosi</t>
  </si>
  <si>
    <t>…17. YO EL REY. = Yo D Juan Ignacio de Ayestarán , secretario del Rey nues tro Señor, la hice escribir por su mandado.rrEl duque del Infantado. = Don Josef Antonio de Larrumbide. = D. Juan Benito Hermosi!la. = D. Manuel de Torres. = D. Felipe de Sobrado. = Registrada Aquilino Escudero.^Tenien te de canciller mayor , Aquilino Escudero.. En oficio de 12 de Setiembre último participa al Excnlo. Sr. Secretarlo del despacho de Marina desde la Guaira el comandante…</t>
  </si>
  <si>
    <t>Hermosilla, Juan Martínez de</t>
  </si>
  <si>
    <t>Juan Martínez de Hermosilla</t>
  </si>
  <si>
    <t>…ear estos premios contdbuyeron generosamente el Excmo. Sr. arzobispo director con 3© rs.; el Lino. Se ñor comisario general de Cruzada con 3500; el Sr. vice-director con 160, y el Sr. D. Juan Martínez de Hermosilla con 180. Concluido esto el Señ &gt;r vice-director leyó un discurso, en el que después de expresar la gratitud que animaba á la sociedad en favor de los concurrentes, excitó á que los amantes de la humanidad propusiesen los medios mas expeditos para ocurrir á la…</t>
  </si>
  <si>
    <t>Hermosillo</t>
  </si>
  <si>
    <t>…to, que estaban haciendo cargas de maiz, y una partida de fieles realistas de Lagos dió sobre ellos, consiguiendo la aprehensión del cabecilla de la citada cuadrilla, nom brado el capitán Hermosillo, y otro mas. Hechas las cargas seguimos nues tra marcha, y adelantándonos hasta la hacienda de las Cruces con su tro pa, el comandante D. Hermenegildo Revuelta cogió 2 malvados de la gavilla del rebelde Moreno con unos cuantos caballos despreciables. „ Dios g…</t>
  </si>
  <si>
    <t>Hernández, Joaquín</t>
  </si>
  <si>
    <t>Joaquín Hernández</t>
  </si>
  <si>
    <t>…la de Salas de ¡os Infantes á D. Josef Antonio Vázquez: para la de Friailiana á D. Juan Padilla y Ortiz, alcalde mayor que era de la ciudad de A /amon te : para la de Rivadavia á D. Joaquín Hernández : para la de S. Pedro Man rique á D. Antonio Zapatero y Pomar: para la de Herrera del Duque á Don Pedro Cano, alcaide mayor que era de Siruela; y para la de Quintaniiia de Sumuño á D. Gabriel Gutiérrez. En la gaceta núm. 155 del sábado 14 de Diciembre de 1816…</t>
  </si>
  <si>
    <t>Hernández, Josef</t>
  </si>
  <si>
    <t>Josef Hernández</t>
  </si>
  <si>
    <t>…infantería de América; y la capitanía de llaves de Valencia de Alcántara al subteniente D. Diego Octavio, sargento primero de la compañía de inválidos hábiles de la misma plaza. A D. Josef Hernández, capitán de infantería de milicias de la villa de Puerto Príncipe, isla de Cuba, le ha concedido S. M. su Real permiso para usar la condecoración de la ñor de Lis con que S. M. Cristianísima le ha agraciado. Atendiendo el Rey nuestro Señor á los méritos y ser…</t>
  </si>
  <si>
    <t>Hernández, Santiago</t>
  </si>
  <si>
    <t>Santiago Hernández</t>
  </si>
  <si>
    <t>…agena al teniente general D. Joaquín Navarro, conde de Casa Sarria , coronel de dicha arma. En atención á los distinguidos servicios y particulares circunstancias que concurren en D. Santiago Hernández, vecino de la villa de Puerto Príncipe, en la isla de Cuba , se ha dignado S. M. concederle, á consulta de la cámara de Indias de 16 de Octubre último, merced de título de Castilla con la de nominación de conde de Villamar, vizconde de Casa Hernández, para sí…</t>
  </si>
  <si>
    <t>Herosa, Tomas Fernandez</t>
  </si>
  <si>
    <t>Tomas Fernandez Herosa</t>
  </si>
  <si>
    <t>…con que se habia dedicado á varios de los objetos de la sociedad, y á la educacion de su hija Doña Alfonsa, la 'cual en la corta edad de 9 años habia pintado, bajo la direccion de Don Tomas Fernandez Herosa, individuo de la Real academia de S. Fernando de Madrid J y director de ia escuela de dibujo de la Coruña, un cuadro que ~u padre remitió á la Real sockdad, y que esta mandó colocar en su sala de "untas. ' Madrid ~ 7 de Junio. Los seminaristas del co1egio de…</t>
  </si>
  <si>
    <t>Herraiz, Atanasio</t>
  </si>
  <si>
    <t>Atanasio Herraiz</t>
  </si>
  <si>
    <t>…s son: en Castilla la Nueva D. Josef María Brull, residente en esta corte, y consultor de los Reales egércitos, para Trillo: D. Tomas Bermudez, existente en Madrid, para el Molar: D. Atanasio Herraiz, médico de la villa de Ga^cueña, en la Alcarria, para Alcantud : D. Josef Menchero, médico de número de los Reales egércitos, y de la fábrica de las espadas de la ciudad de Toledo , para Solan de Cabras: Don Carlos Martin del Romeral, establecido en esta cort…</t>
  </si>
  <si>
    <t>Herrarte, Andrés</t>
  </si>
  <si>
    <t>Andrés Herrarte</t>
  </si>
  <si>
    <t>catre de acero, construida por el artífice D. Andrés Herrarte, maestro arme ro , salió la suerte del catre al número 2400, y la de la cama ai 3488. En la gaceta del sabado 4 del corriente se insertó la felicitación hecha á S. M. por los comisionados del ayuntamiento de Mahon , en la cual se lla maba á esta ciudad capita…</t>
  </si>
  <si>
    <t>…00 florines á lo menos, sea en dinero contante ó en efectos. _ ESPAÑA. Valíadalid 15 de Mayo. Persuadida la Real sociedad económica de esta capital de que el trillo in ventado por D. Andrés Herrarte, y del que ella misma publicó en el año próximo pasado la lámina y descripción, no se había extendido todo lo que era de esperar, porque la escasez del tiempo no había permitido que se cons truyese un número de ellos capaz de dar en toda la península las gran…</t>
  </si>
  <si>
    <t>*°49 ESPAÑA. Córdoba 10 de Setiembre. La Real sociedad econcmica de Córdoba , deseosa de generalÍ2ar el uso del trillo económico, inventado en Valladolid por D. Andrés Herrarte, le ha construido á sus expensas con arreglo al modelo que le remitió la Real so ciedad de dicha ciudad ,á fin de desengañar con la experiencia á los que adic tos á una antigua rutina desacreditan cualquiera invención que facilita los progresos de nuestra agr…</t>
  </si>
  <si>
    <t>1401</t>
  </si>
  <si>
    <t>…era. Después de haber patenti zado á muchos labradores de su pais estas ventajas, de que se están aprove chando actualmente , fijó su atención en el ingenioso trillo inventado por Don Andrés Herrarte , en Valladolid, y publicado por aquella sociedad, y á es te fin reunió á tres labradores de tres pueblos inmediatos; y habiéndoles demostrado las utilidades de dicha invención, les ayudó á la construcción de uno que costearon entre todos, y habiendo salido d…</t>
  </si>
  <si>
    <t>Herrasti, Andrés Perez de</t>
  </si>
  <si>
    <t>Andrés Perez de Herrasti</t>
  </si>
  <si>
    <t>…e Real orden de S. M. se ha egecutado en la capital de Barcelona á los restos del Excmo. Sr. D. Mariano Alvarez de Castro: la da al público por disposi ción del Excmo. Sr. general gobernador D. Andrés Perez de Herrasti, comandante general interino del egército y principado de Cataluña, D. Francisco Satue, espitan efectivo de infantería, condecorado con las insignias de la cruz de distinción de Ge rona y la del Sufrimiento por la patria, actualmente agregado al estado mayor…</t>
  </si>
  <si>
    <t>Herrera</t>
  </si>
  <si>
    <t>…do que aquel traidor se halla en los Callos de S. Luis, al S. de dicha isla. De estos datos resulta completamente falsificada la extravagante y ridicu la proclama que el cabecilla cura Herrera ha procurado esparcir entre los ignorantes, asegurando que Matagorda estaba ocupada por él, y fechándola en este puerto á 13 de Setiembre último. Tales son los últimos esfuerzos de los rebeldes, que perseguidos por todas partes, y aniquilados en casi to do el…</t>
  </si>
  <si>
    <t>Herrera, Francisco</t>
  </si>
  <si>
    <t>Francisco Herrera</t>
  </si>
  <si>
    <t>i*4 ña María Encarnación Nestaris y Chapín , viuda que fue de D. Francisco Herrera, para que dentro del preciso y último término de 30 dias, contados desde el 22 del corriente, acudan á usar de sus acciones en el juicio de dicha testamentaría, pen diente ante el Sr. D. León de la Cámara Cano, del Consejo de S. M. en el supremo de Hacienda,…</t>
  </si>
  <si>
    <t>…gidor de esta villa, en el dia 24 de este mes á las nueve. Se cita á los acreedores é interesados á la testamentaría de Doña María Encar nación Nestares y Chapín, viuda que fue de D. Francisco Herrera, para que con curran á la junta que ha de celebrarse en la posada del Sr. D. León de la Cámara Cano, del Consejo de S¿ M., teniente corregidor, y corregidor interino de esta vi lla, en el dia 28 de este mes á las nueve. La plaza de maestro de primeras letras…</t>
  </si>
  <si>
    <t>…D. Manuel de Quevedo Bustamante, plazuela del Angel. Se cita á los acreedores é interesados en la testamentaría de Doña María de la Encarnación Nestares y Chapín, muger que fue de D. Francisco Herrera, para que concurran á la junta que ha de celebrarse el dia 28 de este mes á las ocho de su ma ñana en la posada del Sr. D. León de la Cámara Cano, del Consejo de S. M. en el supremo de Hacienda, teniente primero corregidor de est3 muy heroica villa. Se halla…</t>
  </si>
  <si>
    <t>Herrera, Juan Ildefonso</t>
  </si>
  <si>
    <t>Juan Ildefonso Herrera</t>
  </si>
  <si>
    <t>…y un hospital, cuya dotación será la que se ajuste particularmente. El que quisiere obtener la referida plaza presentará memorial en la secretaría de ca bildo que está á cargo de D. Juan Ildefonso Herrera, en el término de un mes, con tado desde su publicación. España feliz con la industria perfeccionada por el dibujo: discurso leído en la Real academia de S. Fernando, y dedicado al Scrmo. Sr. Infante D. Carlos María, gefe principal de todos los establecimient…</t>
  </si>
  <si>
    <t>Herrera, Miguel</t>
  </si>
  <si>
    <t>Miguel Herrera</t>
  </si>
  <si>
    <t>…,A D* Man. a,no García Puerta, veinticuatro de Granada ; D. Tosef Mariano Cabanes, regidor perpetuo de Barcelona; D. Francisco de Valle-Roldan, decano de la Rota de la Nunciatura; D. Miguel Herrera, dignidad de la ca tedral de la Havana; D. Manuel González de la Vega, vecino de la Hava5a ’i DV.A'!drC'S Im?z Altolaguirre, deán de la catedral de León; D. Manuel de la Madriz, vecino de Potes, maestrante de Ronda; D. Marcelino de la Torre, oficial mayor de…</t>
  </si>
  <si>
    <t>Herrera, Pepe</t>
  </si>
  <si>
    <t>Pepe Herrera</t>
  </si>
  <si>
    <t>…ia 8 descorriente por cerros y barrancas casi intransitables, á las cuatro de la mañana del 9 llegué al pueblo de Chalmira , en donde logré coger al segundo del reheljde González, capitán Pepe Herrera, con otros 4 de sus secuaces y 3 armas de fuego, todo lo que~.be .presentado, ¿.disposición de vmd. para los fines que estimeconvenientes. . ' . : „La prisión de este cabecilla es de la mayor importancia, pues como vmd. sabe, siendo de toda la confianza de Go…</t>
  </si>
  <si>
    <t>Herrero, Luis</t>
  </si>
  <si>
    <t>Luis Herrero</t>
  </si>
  <si>
    <t>212</t>
  </si>
  <si>
    <t>…do computarse de continuo de 50 á 60 los discípulos. El pais es delicioso y sano, y sus comestibles baratos. Los pretendientes dirigirán sus memoriales en todo el mes de Febrero á D. Luis Herrero, alcalde por el estado noble de aquella ciudad; pues debe proveerse inmediatamente dicha cátedra. Catecismo de la doctrina cristiana explanado por el presbítero D. Josef Medrano, misionero apostólico, siguiendo en todo el espíritu del P. Gerónimo de Ripalda.…</t>
  </si>
  <si>
    <t>Herrero, María</t>
  </si>
  <si>
    <t>María Herrero</t>
  </si>
  <si>
    <t>…cámara de la misma; en inteligencia que pasados sin haberlo hecho se dará en dichos autos la providencia qtte corresponda, y les parará el perjuicio que haya lugar. A instancia de Doña María Herrero, viuda de D. Ventura García, vecina de esta corte, en los autos que penden en el Consejo Real y escribanía de cámara del cargo de D. Valentín de Pinilla, sobre validación del testamento otorgado por Don Antonio Sanz, vecino que fue también de esta corte, en 5…</t>
  </si>
  <si>
    <t>Hert, Juan María Van</t>
  </si>
  <si>
    <t>Juan María Van Hert</t>
  </si>
  <si>
    <t>…ria, que servia la de la isla de Sto. Domingo: la de las Islas Filipinas al mariscal de campo D, Ambrosio de la Cuadra; y el gobierno de Portobelo, en el nuevo reino de Granada, á D. Juan María Van Hert, primer teniente de Reales guardias de infantería Walona. En España. El gobierno del castillo de Paimogo, en el condado de Nie bla, al teniente coronel D.Juan Zambratio, capitán del regimiento de infan tería de América: el del castillo de Mequinenza, en Aragó…</t>
  </si>
  <si>
    <t>Hervás, Juan Josef</t>
  </si>
  <si>
    <t>Juan Josef Hervás</t>
  </si>
  <si>
    <t>…uvieron la honra de felicitar á S. M. por el feliz alumbramiento de la Reina nuestra Señora, á nombre de la villa del Pozue lo de Calatrava, el Excmo. Sr. marques de Villadarias y D. Juan Josef Hervás, alcalde mayor de la misma villa, en los términos siguientes: „ Señor: La leal villa del Pozuelo de Calatrava, en el campo de esta or den, y en su nombre el Excmo. Sr. marques de Villadarias * su comendador, y D. Juan Josef Hervás, alcalde mayor de ella, tien…</t>
  </si>
  <si>
    <t>Hervey</t>
  </si>
  <si>
    <t>…imperio para Francia, á consecuencia del permiso concedido para ello por aquel Monarca africano. Paris 1,° de Junio. Ayer tarde llegó ¿ esta capital el duque de Wellington con el coronel Hervey y su esposa. PORTUGAL. Lisboa 7 de Jimio. Si cuando tuvieron lugar las prisiones que se hicieron en esta corte en la noche del 25 al 26 de Mayo último fueron en un principio diversos los mo tivos que el vulgo asignó á esta novedad, muy en breve se fijó despué…</t>
  </si>
  <si>
    <t>Hervoso, Josef Ortiz</t>
  </si>
  <si>
    <t>Josef Ortiz Hervoso</t>
  </si>
  <si>
    <t>…juez de él, se ha acordado entre otras cosas que los interesados en el expresado concurso se presenten para Ja liquidación y purificación de sus cré ditos (los que lo necesiten) á D. Josef Ortiz Hervoso y D. Juan Máximo Ruiz, que \'iven el primero en Ja calle de la Encomienda, núm. 2, y el segundo en la de las Fuentes, núm. ó, síndicos del mencionado concurso, comisionados al efecto, en los 15 primeros dias siguientes á la publicación; con apercibimiento de que les parará el…</t>
  </si>
  <si>
    <t>Hevia</t>
  </si>
  <si>
    <t>…„Dios guarde á V. S. muchos años. Huatusco y Febrero 17 de 1817.= Francisco Hevia. = Sr. brigadier D. Ciriaco de Llano.” El Excmo. Sr. virey ha mandado dar las debidas gracias al coronel Hevia y á los gefes, oficiales y tropa que asistieron á esta jornada; y en re compensa del denuedo y decisión del teniente coronel del regimiento de in fantería de México D. Josef Santa Marina le ha conferido S E. á nombre del Rey nuestro Señor el grado de coronel…</t>
  </si>
  <si>
    <t>…nio Huatusco, se ha servido conceder un grado por clase al mas antiguo de los oficiales de cada una que concurrieron á la acción, inclusos los cadetes y sargentos; mandando que al Sr. Hevia se re comiende particularmente á la piedad del Rey nuestro Señor. Havana 24 de Junio. El gobernador de Trinidad ha dirigido al Excmo. Sr, presidente gober nador y captan general el oficio siguiente : ,, Excmo. Sr.: En cabildo odinario , celebrado en esta ciud…</t>
  </si>
  <si>
    <t>Hevia, Francisco</t>
  </si>
  <si>
    <t>Francisco Hevia</t>
  </si>
  <si>
    <t>…ió una casa: en las inmediaciones de Neutingen otros rayos de la misma tempestad mataron bastante ganado. ESPAÑA. México 6 de Marzo. Continuación de los partes de Nueva-España. El coronel D. Francisco Hevia participa, con fecha de 17 de Febrero, desde Huatusco al brigadier y comandante general D. Ciríaco de Llano lo siguiente: „Para dar cumplimiento á la superior órden del Excmo. Sr. virey , rela tiva á que luego que me encargase del mando de este distrito empez…</t>
  </si>
  <si>
    <t>…Sr.: Acabo de recibir el adjunto oficio de! teniente coronel Don Francisco de Paula Caminero, en que consta la toma del Chiquihuite y puente de Atoyac por las tropas al cargo del coronel D. Francisco Hevia; y luego que llegue á mis manos el parte circunstanciado de este gefe lo ele varé á V. E- sin perder momento, como el que ahora remito para su supe rior conocimiento. Dios guarde á V. E. muchos años. Puebla y de Marzo de 1817.= Exce lentísimo Sr. = Giriaco de…</t>
  </si>
  <si>
    <t>…o de Llano, ,, Excmo. Sr.: Consecuente con lo que ofrecí á V. E. en mi oficio ex traordinario número 171 de 3 del corriente, es adjunto para sü superior co nocimiento el parte dél coronel D. Francisco Hevia, comandante de las vi llas de Córdoba y Orizava, relativo á la acción y toma de los fuertes que defendían los rebeldes en los puntos del Chiquihuite y puente de Atoyac; re comendando á V. E. , como lo hace aquel gefe, al teniente coronel D. Josef Santa Marina…</t>
  </si>
  <si>
    <t>Hewit</t>
  </si>
  <si>
    <t>…, donde todavía residían en el mes de Setiembre, sin haberse recibido noticia del progreso de las negociaciones confiadas al embajador. Sin embargo, algunas cartas llevadas por el general Hewit desde Tiensing á Cantón anunciaban un resultado favorable de la em bajada. El Conquistador , navio de 74 cañones, saldrá luego que el viento lo per mita para Sta. Elena con el almirante Plampin, quien va á reemplazar á sir Pulteney Malcolm, y á residir por la…</t>
  </si>
  <si>
    <t>Hidalgo, Antonia</t>
  </si>
  <si>
    <t>Antonia Hidalgo</t>
  </si>
  <si>
    <t>…aron también varias planas por las reglas caligráficas, y varias labores de costura , hasta bordados de co lores en seda. Las sobresalientes y concluidas en todos los ramos fueron Doña Antonia Hidalgo, Doña Josefa Quesada y Doña Ana Soto Sánchez, á las cuales se les asignó en premio una dote para si tomasen el estado matrimonial, una medalla de plata de cerca de una onza, un cuaderno de muestras por D. Torcuato Torio , un alfiletero de plata y unas tijeras…</t>
  </si>
  <si>
    <t>Hidalgo, Hipólita</t>
  </si>
  <si>
    <t>Hipólita Hidalgo</t>
  </si>
  <si>
    <t>…, contados desde esta pu blicación, á todos los que se crean con derecho á ser patronos de la memoria de misas que en el convento de observancia de nuestra Señora del Carmen fundó Doña Hipólita Hidalgo á nombre de su marido el Dr. D. Francisco Henriquez de Villacorta en 27 de Setiembre de 1696, para que por la audiencia de dicho señor y re ferida escribanía acudan á acreditarlo en forma; teniendo entendido que no verifi cándolo en el indicado término se sus…</t>
  </si>
  <si>
    <t>Hidalgo, Joaquin</t>
  </si>
  <si>
    <t>Joaquin Hidalgo</t>
  </si>
  <si>
    <t>…iatas a esta ciudad, tirano el trillo socamente por dos caballerías, que no se remudaron , trilló en nueve horas una parva de 14 carretadas de mies de cebada, propia de los socios D. Joaquin Hidalgo y D. Rafael de Mancha , dejando la paja perfectamente quebrantada, y tan suave como se necesita en este pais para el alimento del ganado vacuno; cuya prueba se hizo á presencia de varios labradores, y de diferentes personas de todas clases. Las ventajas que resultaron deben gra du…</t>
  </si>
  <si>
    <t>Hidalgo, Josef</t>
  </si>
  <si>
    <t>Josef Hidalgo</t>
  </si>
  <si>
    <t>…aquín Colon, del Con sejo y Cámara de S. M., su presidente , D„ Leonardo Gil de la Cuesta, y Don Bernardo González Alvarez, fiscal y procurador general, y de los cuatro caballeros D. Josef Hidalgo, D. Miguel Lujan, D. Bartolomé Ortiz de Paz y D. Amaro García Olalla, que representaban las cuatro sierras nevadas ó partidos de Soria, Cuenca, Segovia y León de que se compone dicho hon rado concejo; y el primero dijo: ,,Señor: El honrado concejo de la Mesta…</t>
  </si>
  <si>
    <t>Hidalgo, Melchor</t>
  </si>
  <si>
    <t>Melchor Hidalgo</t>
  </si>
  <si>
    <t>…ntes: En América, La capitanía general de la provincia de Yucatán al briga dier D. Miguel de Castro Araos, teniente de Rey de la plaza de Campeche: la ayudantía de la de Cunaaná á D. Melchor Hidalgo, teniente de infantería: la capitanía de llaves del Callao de Lima á D. Juan Rodríguez, subteniente de la misma arma, y la de Cartagena de Indias á D. Juan García, sargento primero del regimiento de voluntarios de la Victoria, En España. El gobierno del fuert…</t>
  </si>
  <si>
    <t>Hill</t>
  </si>
  <si>
    <t>…speran allí de un dia á otro al duque de Wellington, comandante en gefe del egército de ocupación en Francia. Durante su permanencia en París manda el egército ingles el te niente general Hill, su compañero de gloria eu las campañas inmortales de Portugal y de España. Parece cierto que el general barón Vanden-Boegard está nombrado go bernador militar de Surinam. Este militar distinguido por sus calidades es belga de nacimiento, y ha vivido mucho ti…</t>
  </si>
  <si>
    <t>Ho, Patricio del</t>
  </si>
  <si>
    <t>Patricio del Ho</t>
  </si>
  <si>
    <t>…cada uno de los discípulos de la clase de leer, cuatro por los de escribir, y cinco por los de aritmética. Los preten dientes dirigirán sus memoriales al escribano de ayuntamiento D. Patricio del Ho yo hasta el dia ro de Mayo próximo. D.Miguel Inés, distinguido que era del regimiento infantería de Sevilla, segun da compañía del primer batallón, cayó prisionero el 16 de Noviembre de 1812 es tando enfermo en el hospital del colegio del Arzobispo en Salaman…</t>
  </si>
  <si>
    <t>Holland</t>
  </si>
  <si>
    <t>…de los roo suizos ha recibido orden de hacer á los cardena les cuando vayan á palacio los mismos honores militares que á los marisca les de Francia. Hoy ha llegado á esta capital lord Holland, par de la Gran-Bretaña, y uno de los gefes mas distinguidos de la oposición. Escriben de Liorna con fecha de 29 de Julio que la escuadra portuguesa se presentó el 25 en aquella rada , y entró en el puerto después de tres dias de cuarentena. La Princesa Real…</t>
  </si>
  <si>
    <t>Hollinan</t>
  </si>
  <si>
    <t>…e el asunto de Hollinan, y en consecuencia la confirma ahora expresamente; y en el caso de que se la presenten ulteriores quejas, cuya fa cultad está formalmente reservada á dicho señor Hollinan, tomará la resolu ción que tenga por conveniente.” GRAN BRETAÑA. Londres 22 de Marzo. El cónsul español residente en Norfolk ha hecho saber á los comercian tes de América en general que el puerto de Veracruz está abierto para todos los buques de las naciones…</t>
  </si>
  <si>
    <t>Hoyos, Casimiro</t>
  </si>
  <si>
    <t>Casimiro Hoyos</t>
  </si>
  <si>
    <t>63</t>
  </si>
  <si>
    <t>…las cuatro de la tarde del 2&lt;j, discurrí detenidamente en el modo de atacarlos: para ello ordené que el sargento mayor D, Ramón García y el teniente coronel capitán de granaderos D. Casimiro Hoyos fuesen á la una de la mañana de este dia con tres componías de infantería á colocarse , cu biertos de la oscuridad , en la altura frontera á dicho pueblo , distante dos leguas de las posiciones del enemigo, partiendo yo con el resto de infanrería y caballería…</t>
  </si>
  <si>
    <t>…ominante del campo enemigo. Puesto en ella á las tres y media de la mañana, tomé la derecha con una compañía y dos guerrillas de á 20 hombres; por la izquierda marchó el te niente coronel D. Casimiro Hoyos con la invencible de granaderos, y por el centro el sargento mayror D. Ramón García con otra de fusileros ,con orden de que luego que rompiese el fuego avanzasen todos precipitadamente stbre el campamento de Camargo. A las cuatro y cuarto de ella , dada por m…</t>
  </si>
  <si>
    <t>…s, hom bres que los conduce su patrón D. Manuel Fernando Vaca, que trabaje) en su conquista, quien instruirá menudamente de lo ocurrido. Va también con él el capiran de granaderos D. Casimiro Hoyos, que entregarán el parte y demas referido : ha trabajado este primorosamente en su compañía en este y todos los ataques que he tenido desde que empecé á batirme en Tirroyo, ha ciéndose acreedor á la consideración de V. E. , y aquel á su bondad, por cuanto ha…</t>
  </si>
  <si>
    <t>Hualde, Guilíeimo</t>
  </si>
  <si>
    <t>Guilíeimo Hualde</t>
  </si>
  <si>
    <t>949</t>
  </si>
  <si>
    <t>…sejo de Indias; duque de San Fernando, presidente del Consejo de las Ordenes; duque de Vera gua, presidente del supremo Consejo de Hacienda; duque dei Parque; Don Anselmo Rivas, y D. Guilíeimo Hualde. Honores en dicho Consejo Al Sr. D. Tomas Aparicio Santin , colector general de Espolies, Vacantes y Fondo pió beneficia], y superintendente general de la casa de Misericordia y Expósitos del reino, y al Sr. marques del Vil’el, conde de Darnius. Grandeza de E…</t>
  </si>
  <si>
    <t>Huelga, Bernardo</t>
  </si>
  <si>
    <t>Bernardo Huelga</t>
  </si>
  <si>
    <t>…Vicente Berdion , Don Joa quín Lumeras, D. Tomas Asensio, D. Mateo Rodriguez, D. Valentín Ga veta, D. Pedro Martin, D. Antonio Fernandez, D. Andrés Redondo, Don Federico Movilla, D. Bernardo Huelga, D. Esteban Blanco, D. Miguel Alonrso, D. Cesáreo Viguera, D. Miguel Chana, D. Antonio Castro, D. Toribio González, D. Santiago Alonso, D. Tomas Pardo, D. Ignacio Ojero, Don Fernando Movilla, D. Manuel Gómez, D. Francisco Rodriguez, D. Alvaro Chaves, D. Ferna…</t>
  </si>
  <si>
    <t>Huertas, Manuel</t>
  </si>
  <si>
    <t>Manuel Huertas</t>
  </si>
  <si>
    <t>…educción hasta las regías de compañía; habiéndose hecho dig nos del aplauso y de que se Ies adjudícase el premio D.Pedro Pacheco, Don Josef Iglesia , D. Josef Cala, D. Josef Adan, D. Manuel Huertas, D. Tosef Ro mero, D. Josef Villanueva, D. Francisco Capulino, D. Juan Romero, D. Vicente Brete, D. Nicolás Moreno, y entre estos muy en particular Don Josef Cotera, que entrando en esta academia á la edad de seis años sin cono cer el alfabeto, y contando al…</t>
  </si>
  <si>
    <t>Hueseas, Angel Josef de</t>
  </si>
  <si>
    <t>Angel Josef de Hueseas</t>
  </si>
  <si>
    <t>…n hecha acreedor su desinterés y laboriosidad. De resultas de los funestos acaecimientos de extravíos, saqueos y otros infortu nios de la última guerra se hallan en poder del Lie. D. Angel Josef de Hueseas, presbítero» cura rector de la iglesia parroquial de Sto. Domingo de Silos de Ja villa de Arévalo, diócesis de la ciudad de Avila, dos cuadernos de á medio folio de pa pel marquilia , forrados con cartones, cubiertos de terciopelo de seda verde; el uno contie…</t>
  </si>
  <si>
    <t>Huet, Pedro Daniel</t>
  </si>
  <si>
    <t>Pedro Daniel Huet</t>
  </si>
  <si>
    <t>…urrieron &amp;c.» un tomo en 8.° Se vende en la librería de Rodríguez, calle de las Carretas. Historia del comercio y de la navegación de los antiguos: escrita en francés por el limo. Sr. Pedro Daniel Huet, obispo de Abranches &lt;3cc., y traducida al castella no por el P. Fr. Plácido Regidor, y añadida con algunas notas y un índice geográ fico para mayor inteligencia de los pueblos, puertos, mares é islas de que se hace mención en ella, en un tomo en 4.0 Se vende…</t>
  </si>
  <si>
    <t>Huffington</t>
  </si>
  <si>
    <t>…solo hecho de haber enarbolado tal pabellón equivale á una prueba manifiesta en el estado actual de las cosas. „Todo hace creer que hayan seguido el mismo plan el buque Sivift, su capitán Huffington, armado de 14 cañones y con 140 hombres de tripula ción, que salió de Baltimore el 3 de Agosto último con expediciones para la Havana ,y el barco la María ¡su capitán Stafferd , que salió del mismo puer to en 25 del propio mes, habiendo recibido á su bordo un…</t>
  </si>
  <si>
    <t>Huidobro, Justo</t>
  </si>
  <si>
    <t>Justo Huidobro</t>
  </si>
  <si>
    <t>…á las personas que estuvieren á su cargo, dester rando de una vez las preocupaciones que tantos males han causado á la humanidad.” ESPAÑA. México 30 de Mayo* El comandante militar D. Justo Huidobro remite al Excmo. Sr. virey desde Cuernavacas el parte que había recibido de D. Manuel Ahedo , coman dante accidental del destacamento de Haquiltenango, y es como sigue: „Ayer comoá las seis de la mañana tuve aviso por un confidente de que se hallaban los rebe…</t>
  </si>
  <si>
    <t>Huidobro, Justo de</t>
  </si>
  <si>
    <t>Justo de Huidobro</t>
  </si>
  <si>
    <t>…miento. „Dios guarde á V. E. muchos años. Chalco Marzo 19 de 18 17. = Exce lentísimo Sr.=Bernardo López.=Excmo. Sr. virey D. Juan Ruiz de Apodaea.” CUERNA VACA. Oficio del capitán comandante D. Justo de Huidobro. ,,Cori el respeto debido elevo á las superiores manos de V. E. el parte original que al regreso de su expedición me ha dado el teniente de realistas de este escuadrón D. Juan Zamorátegui, relativo á la prisión del rebelde Josef Herrera y sus secuaces, cuyas…</t>
  </si>
  <si>
    <t>…egercia las fun ciones de cabo, y auxilió en cuanto pudo á Quevedo á la prisión de Herrera. „Dios guarde á vmd. muchos años. Cuernavaca Marzo 12 de 1817.= Juan Zamorátegui. = Sr. capitán D. Justo de Huidobro.” Lima 11 de Junio. Habiéndose anunciado en los papeles públicos de la península el feliz enlace de nuestro amado Monarca el Sr. D. Ferrando vii con la Serma. Se ñora Infanta de Portugal Doña María Isabel, dispuso el Excmo.Sr. virey que esta fidelísima capita…</t>
  </si>
  <si>
    <t>Humboídt, Guillermo de</t>
  </si>
  <si>
    <t>Guillermo de Humboídt</t>
  </si>
  <si>
    <t>…iencia solemne. Los secretarios nombrados para la embajada del Brasil son el barón de Neveu y el barón de Hugeh ALEMANIA. Nnremberg /j de Diciembre. Se asegura generalmente que el barón Guillermo de Humboídt, en lugar de ir á Londres como embajador de Prusia, pasará á Berlín con el destino de ministro de Negocios extrangeros. Mr. Frey, catedrático en Bamberg, ha abierto el curso de su cátedra es te año con un programa en que intenta demostrar que las disposicione…</t>
  </si>
  <si>
    <t>Hurruitiner, Joaquin</t>
  </si>
  <si>
    <t>Joaquin Hurruitiner</t>
  </si>
  <si>
    <t>…América. La subinspeccion general de las tropas de Gcatemala al brigadier D. Juan Josef Oíazabal: la comandancia del castillo de Jagua , de pendiente de la plaza de la Havana , á D. Joaquin Hurruitiner, capitán del regimiento infantería de Cuba; y Ja tenencia de Rey de la plaza de Panamá al teniente coronel D. Pedro Aguilar, gobernador que era de la provincia de Darien del Sur. Por Real resolución, á consulta de la Cámara , se ha servido S.. M. con ceder la…</t>
  </si>
  <si>
    <t>I, D</t>
  </si>
  <si>
    <t>D I</t>
  </si>
  <si>
    <t>…Monterey , en el reino de Gali cia, al capitán D. Jor^el Martínez Valladolid , teniente retirado en Andalucía; el de S. Dieí^o, dependiente de la plaza de la Coruna , al teniente coronel D I mis Postillón, capitán retirado en esta plaza; y la sargentía mayor de Badajoz al teniente coronel de infantería D. Onofre Ezquerdo. Pava el remate de una huerta, sita en termino del lugar de Viílaverde, de esta jurisdicción, y sitio que llaman Prado caballo,…</t>
  </si>
  <si>
    <t>I, Henrique María Huerta y</t>
  </si>
  <si>
    <t>Henrique María Huerta y I</t>
  </si>
  <si>
    <t>…ue se animase á la juventud á su estudio, por, medio de pre mios y distinciones, para que se lograsen las ventajas que se hablan concebi do de ios conocimientos de ios licenciados D. Henrique María Huerta y I&gt; n Pedro Losada, á quienes se acababa de conferir por oposición las cátedras de esta enseñanza , y que según el plan que se habia adoptado debían hermanar con el estudio de la lengua latina el de la castellana, por desgracia tan aban donado ie'n la educación…</t>
  </si>
  <si>
    <t>Iba, Antonino</t>
  </si>
  <si>
    <t>Antonino Iba</t>
  </si>
  <si>
    <t>…granos, frutas y hortaliza. El norobiamiento se verificará terminantemente el 4 de N ■•viembre próximo , por lo cual Jo&gt; aspirantes dirigirán á la mayor brevedad sus memoriales á D. Antonino Iba:z y Pin i esa, se cretar ¡o interino del ayuntamiento. Se halla vacante el pa tido de médico de la villa de H 'machos, provincia oe Extremadura, 60 leguas de*la corte. El profesor que quiera ío.Litarle podrá dirigir su memorial al ayuntamiento por conducto de…</t>
  </si>
  <si>
    <t>Ibañez, Cristina</t>
  </si>
  <si>
    <t>Cristina Ibañez</t>
  </si>
  <si>
    <t>…Fr. Antonio Ocaña, del orden de S. Francisco: 16 en la cíase de gramática, asistidos de su maestro el P. Fr. Ramón Navia., de la misma orden; y 90 niñas instruidas por su maestra Doña Cristina Ibañez. Hízose la apertura de los actos por discursos análogos, que pronunciaron dichos PP. Ocaña y Navia, manifestando al pueblo las benéficas ideas del Monarca, el mucho zelo del ayuntamiento, y las ventajas que se sacan de semejantes establecimientos para formar…</t>
  </si>
  <si>
    <t>Ibargiiengoitia, Saturnino</t>
  </si>
  <si>
    <t>Saturnino Ibargiiengoitia</t>
  </si>
  <si>
    <t>…d con que trabajaron el dia y noche citados, no siéndoles obstáculo el no haber tomado alimento alguno en el referido tiempo hasta la mañana del 9 en Xahnolonga, y en particular á D. Saturnino Ibargiiengoitia , comandante de los de Temisco , á quien enco mendé y desempeñó á mi satisfacción la descubierta , al sargento del escua drón Francisco López, y cabo dei mismo Ignacio Rodríguez, al voluntario de Temisco Diego Quevedo, que á mi voz denodadamente y sin perder…</t>
  </si>
  <si>
    <t>Ibarra, Cayetano</t>
  </si>
  <si>
    <t>Cayetano Ibarra</t>
  </si>
  <si>
    <t>…in cia de Mechoacan, y vocal de la llamada junta de los rebeldes; D. Ignacio Sandoval, titulado teniente coronel de la gavilla de Rayón ; D. Éstéban Bar bero, capitán de la misma; D. Cayetano Ibarra, secretario de Rayón; Don Cayetano Guerrero, teniente coronel; Francisco Hernández ,soldado; Josef María Talavera, idern; Josef Rafael Huerta, alférez; Josef Ramón Bravo, administrador de alcabalas; Josef María Vídaña , alférez; D. Simón Orozco, ídem ; D. Ant…</t>
  </si>
  <si>
    <t>Ibarra, Joaquín de</t>
  </si>
  <si>
    <t>Joaquín de Ibarra</t>
  </si>
  <si>
    <t>…ón. = D. Josef Martínez de Bustos. = D. Francisco Sánchez Gadeo. El Rey se ha servido promover á gefe de escuela en el departamento de Artillería de la Coruña al mariscal de campo D. Joaquín de Ibarra, coro nel de dicha arma. Ed Rey nuestro Señor se ha servido conceder su Real permiso á D. Joa quín Manuel del Hierro, administrador general de Rentas Reales del reino de Valencia, para que pueda usar del distintivo de la flor de Lis con que le ha condecorado…</t>
  </si>
  <si>
    <t>Ibarrondo, Josef Antonio de</t>
  </si>
  <si>
    <t>Josef Antonio de Ibarrondo</t>
  </si>
  <si>
    <t>…pone de mas de id vecinos. Tratado de la administración de los Reales derechos de alcabalas, cientos y mi llones que se causan en la fábrica, venta y consumo de jabón: escrito por D. Josef Antonio de Ibarrondo, é impreso en 1797, á 6 rs. en papel. Véndese en el alma cén de la imprenta Rea!. En la librería de Martin, calle de la Cruz, se hallan de venta varios juegos de á cinco mapas geográficos en grande, que manifiestan Europa, Asia, Africa, Amé rica y el Mapa mun…</t>
  </si>
  <si>
    <t>Idiaquez, Francisco de Borja de</t>
  </si>
  <si>
    <t>Francisco de Borja de Idiaquez</t>
  </si>
  <si>
    <t>…or sostener con su generoso comercio en el Alto Perú los sagrados derechos de su soberanía. El dia 17 de Marzo del presente año falleció en esta corte de edad de 62 años el Excmo. Sr. D. Francisco de Borja de Idiaquez, Rebolledo de Palafox &amp;c., duque de Granada de Ega, conde de Xavier , marques de Corres &amp;c.; grande de España de primera clase, gran mariscal perpetuo del reino de Navarra, caballero de la insigne orden del Toison de Oro, Gran cruz de la Real y distinguida de…</t>
  </si>
  <si>
    <t>Ig</t>
  </si>
  <si>
    <t>…. Lavin y hermano, D. Manuel Ramón de Viilachica, D. Manuel Francisco Aguirre é hijos, D. Vicente Carrasco y Fominaya, Doña Clara Ambite, Juan Antonio Morera, D. Josef Sala y Cam, D. Ig nacio de Arellana, D. Francisco Bolart y Goma, D. Josef Bruquera y Castell, Don Francisco Argel é hijos, y D. Lorenzo Carballo de Ledesma, para que en el preciso y perentorio término de 30 dias, contados desde la publicación de este aviso, com parezcan por sí…</t>
  </si>
  <si>
    <t>…practicaban ó preparaban por medio de ios barcos palangreros ó pescadores, que se hacen á la mar con el pre texto de la pesca, lo hizo presente el visitador de aquellos resguardos D. Ig nacio Martínez de Villela, manifestando lo conveniente que seria, para evi tar dicho abuso, poner en práctica en aquel puerto y en el de Velez la or den comunicada por el Sr. D. Julián de Arriaga en 1767 al intendente del departamento de Cádiz, para que á los…</t>
  </si>
  <si>
    <t>Iglesia, Josef</t>
  </si>
  <si>
    <t>Josef Iglesia</t>
  </si>
  <si>
    <t>…compuesto, dando idea del valor de estos, de su reducción hasta las regías de compañía; habiéndose hecho dig nos del aplauso y de que se Ies adjudícase el premio D.Pedro Pacheco, Don Josef Iglesia , D. Josef Cala, D. Josef Adan, D. Manuel Huertas, D. Tosef Ro mero, D. Josef Villanueva, D. Francisco Capulino, D. Juan Romero, D. Vicente Brete, D. Nicolás Moreno, y entre estos muy en particular Don Josef Cotera, que entrando en esta academia á la edad de…</t>
  </si>
  <si>
    <t>Iglesia, Rafael la</t>
  </si>
  <si>
    <t>Rafael la Iglesia</t>
  </si>
  <si>
    <t>351 Febrero se esíaban aprontando en Cartagena. La armada ha perdido dos ofi ciales que han probado cuan justa era la opinión que se tenia de ellos: son el teniente de navio D. Rafael la Iglesia , comandante del bergantín Intrépido, y el alférez de fragata D. Mateo Ocampo, comandante de la goleta Rita. Siete goletas de mucha fuerza, al mando del almirante pirata Brion, los ata caron. El combate fue obstinado y sangriento, y solo el número pudo triun…</t>
  </si>
  <si>
    <t>Iglesias, Magín</t>
  </si>
  <si>
    <t>Magín Iglesias</t>
  </si>
  <si>
    <t>…a grandiosa empresa de la construcción de los canales de Urgel, tiene por fin esta junta la indecible satisfacción de participará V. E. que los comisionados individuos de la misma D. Magín Iglesias y Don Antonio Puig, que pasaron al punto de Camarasa y otros, con los señores el brigadier D. Josef Sta. Cruz, coronel del Real cuerpo de ingenieros, ins pector general de la obra nombrado por S. M., y el director facultativo Don Tomas Soler y Ferrer, avisan con fecha de 28 de…</t>
  </si>
  <si>
    <t>Igna</t>
  </si>
  <si>
    <t>…rá el corregidor que es b fuere, de un vicepresidente, que lo será el visitador general de escuelas que es ó fuere, de un secretario con voto, para cuyo empleo ha nombrado S. M. á D. Igna cio Sancho, secretario que es de la academia de la primera educación; de un religioso de las Escuelas pías á nombramiento de sus prelados, y de D. Torcuato Torio de la Ríva; relevando á los dos individuos del colegio, que has ta ahora han sido vocales de ella…</t>
  </si>
  <si>
    <t>…d con el empleo de capitán de la partida de indultados con quienes se presentó, y son los siguientes: D. Manuel Oteiza, D. Antonio Trevíño , D. Damian Arandía , D. Remigio Nieto , D. Igna cio Améscua , D. Juan Pineircs, D. Rías Arandía, Aniceto Acosta, Cayeta no Quintana, Rafael Vega , Agustín Navarrete, Antonio Castrejon, Vicente Perez , Josef María Perez , Josef María Sánchez, Miguel Salas é Isabel Costilla. „Paztcuaro Marzo 6 de 18x7. = Ant…</t>
  </si>
  <si>
    <t>Ignaci</t>
  </si>
  <si>
    <t>…se en marcha el dia 14 para el cantón de I03 rebeldes, Mamado S. Pedro, con la fuerza de 128 lanceros; al amanecer del 17, después de un riguroso círculo, se presentó el cabecilla capitán Ignaci® Santos, el mismo que puso i mis órdenes 17 fusiles, 16 cananas con 311 en tre caballos, potros y yeguas, y 28 reses de la propiedad de los presenta dos, que lo son el citado Santos, un teniente,„un subteniente, un sargento, dos cabos y 39 soldados con sus mu…</t>
  </si>
  <si>
    <t>Ignacio</t>
  </si>
  <si>
    <t>…ntísimo Sr.=Ciriaco de Llano.erExemo. Sr. virey D. Juan Ruiz de Apodaca.” Parte del coronel D. Rafael Bracho. ,,Consecuente al oficio de V. S. del 20 dispuse que el sargento mayor D. Ignacio de la Villa marchase con una sección la madrugada del 26 con dirección á Ixtapan, adonde llegó-á las 9 de la mañana, logrando sorpren-</t>
  </si>
  <si>
    <t>Igual, Francisco García Biaños.zz</t>
  </si>
  <si>
    <t>Francisco García Biaños.zz Igual</t>
  </si>
  <si>
    <t>…Pedrosa, de sus hijos ó here* deros, que vivia en Madrid, calle de Sta. Isabel, núm. 11 , cuarto principal, mari do de Doña María Je^us Yesar, muger que fue en primeras nupcias de D. Francisco García Biaños.zz Igual mente se desea saber de los herederos de D. Pedro Auge, de egercicio batero de señoras, que vivia en la Red de S. Luis. Ambos sugetos tienen derecho á la percepción de ciertos créditos manifestados por un papel reservado en la ciudad de Chinchilla; y en el ca…</t>
  </si>
  <si>
    <t>Ilarraza, Santiago Antonio</t>
  </si>
  <si>
    <t>Santiago Antonio Ilarraza</t>
  </si>
  <si>
    <t>…enoyo, tesorero de la provincia de Toledo; D. Luí* Peñalver, vecino de la Havana; D. Pedro oainz de Baranda, vocal de la junta de dirección de la Real casa de niños desamparados ; D. Santiago Antonio Ilarraza, capellán de honor de S. M , con opcion a la de numero; D. Ignacio Gutiérrez Solana, veedor general de la Real casa, D, Francisco Fernandez del Pino, regente de la audiencia de Caceres, D. Francisco Scarlati, contador general de la Real casa, con op ción a la…</t>
  </si>
  <si>
    <t>Ildefonso</t>
  </si>
  <si>
    <t>…Dios guarde á V. E. muchos años. Queretaro Marzo 12 de 1817.= Excmo. Sr. = Ignacio García Rebollo. = Excmo. Sr. virey D. Juan Ruiz de Apodaca.” Varíe del teniente coronel graduado D. Ildefonso de la Torre y la Cuadra. ,,Como dije á V. S. marchó el teniente D. Josef María Arroyo á con ducir el pliego egecutivo para el comandante del Potosí hasta Casas Viejas, en donde lo entregó á aquel comandante militar para que le siguiera por cordillera. y, Para…</t>
  </si>
  <si>
    <t>ILivers</t>
  </si>
  <si>
    <t>…ios á términos que no puedan salir de su territorio. El duque de Wellington ha llegado á esta capital con el objeto, según dicen, de ir á reconocer las tierras que ha de comprar á lord ILivers. FRANCIA. Parts 3 de Noviembre. Por el ministerio de Guerra se ha publicado una Real orden mandan do que el Real cuerpo de ingenieros geógrafos se componga en lo sucesivo de 4 coroneles, 6 comandantes de escuadrón, 16 capitanes primeros, 16 segun dos, 24 teni…</t>
  </si>
  <si>
    <t>Illens, Van Berchern de</t>
  </si>
  <si>
    <t>Van Berchern de Illens</t>
  </si>
  <si>
    <t>…ros de Baviera, viene á Paris en calidad de ministro de aquella corte cerca del Rey de Francia. Escriben de Ginebra con fecha de 16 del corriente que acababa de mar char á Vienael coronel Van Berchern de Illens con poderes de muchos par ticulares , tanto de aquel cantón como de los inmediatos, á reclamar el pago de los intereses atrasados debidos por el monte de Milán, los cuales se cree que ascenderán á 600® francos anuales solo los que se deben á particulares de G…</t>
  </si>
  <si>
    <t>Imaz, Josef de</t>
  </si>
  <si>
    <t>Josef de Imaz</t>
  </si>
  <si>
    <t>…. R. con el agrado y benignidad que tanto las distingue. El dia 8 del pasado fueron admitidos á besar la Real mano de S. M. en nombre de la noble y leal villa del Pasage los Sres. D. Josef de Imaz, del consejo de S. M. en el supremo de Hacienda, y director general primero de Rentas Reales , y D. Joaquín María de Ferrer y Cafranga, caballero de la Real orden Americana de Isabel la Católica, y capitán de voluntarios distin guidos de la Concordia del Perú…</t>
  </si>
  <si>
    <t>Imperator, G.</t>
  </si>
  <si>
    <t>G. Imperator</t>
  </si>
  <si>
    <t>…de 19 de Noviembre: se ha publicado un ukase imperial en que se manda establecer en esta ciudad una universidad. El ukase está escrito en latín, y principia asi: Nos Alexander i} D. G. Imperator totius Rus siete 9 Rex Polonionim &amp;c. &amp;c___ En la universidad se enseñarán cinco facultades; á saber: teología, jurisprudencia, medicina , filosofía, artes liberales y litera tura. Los profesores podrán obtener toda clase de dignidades y de honores. Los princ…</t>
  </si>
  <si>
    <t>In</t>
  </si>
  <si>
    <t>…seguridad , de la alegría y de las virtudes que los constituyen verdaderamente ilustres , respetables y felices.” En seguida pasaron los mismos comisionados á felicitar al Sermo. Sr. In fante D. Cárlos con igual motivo. Real lotería moderna. En el sorteo de la Real lotería moderna celebrado el dia 22 del corriente salieron sorteados con los premios mayores los números siguientes: Números. Premios, Administraciones. 5069, 10000 pesos.........…</t>
  </si>
  <si>
    <t>Inarte, Tomas de</t>
  </si>
  <si>
    <t>Tomas de Inarte</t>
  </si>
  <si>
    <t>…e, á i\ rs. — Batilo, égloga en alabanza de la vida del campó, por D. Juan Menendez Valdés, á rs. — La felicidad de la'vida del campo, égloga por D. Francisco Agustín de Cisneros (D. Tomas de Inarte), á rs.__Sátira contra los vicios introducidos en la poesía castellana, por D. Juan Pablo Forner, á i\ rs.—Lección poética, sátira sobre el mismo asunto, por Don Meliton Fernandez, á 2§ rs. —Elogio del Rey D. Alonso el Sabio, por D. Josef de Vargas y Ponce, á…</t>
  </si>
  <si>
    <t>Inciarte, Josef Ignacio</t>
  </si>
  <si>
    <t>Josef Ignacio Inciarte</t>
  </si>
  <si>
    <t>…ud de providencia de 4 del corriente se ha mandado citar y emplazar por medio de los papeles públicos de esta corte , como desde lue go se llama, cita y emplaza á los herederos de D. Josef Ignacio Inciarte y demas tenedores de los enunciados vales, para que en el término preciso y perentoiio de 15 dias acudan por sí, ó por medio de procurador con poder bastante, á deducir y exponer lo que á su derecho convenga en los enunciados autos sobre la pertenen cia de lo…</t>
  </si>
  <si>
    <t>Incluyo</t>
  </si>
  <si>
    <t>…unión en favor de los rebeldes. Dios guarde á V. S. muchos años. Piastla i.° de Febrero de 1817. = Sa turnino Samaniego. = Sr. general en gefe del egército D. Ciríaco de Llano. P. D. Incluyo á V. S. el adjunto que he recibido hoy del comandante militar de Oajaca. 2.0 Excmo. Sr.: El teniente coronel D. Saturnino Samaniego me remite el parte que original acompaño á V. E. para su superior conocimiento, y es contraído á la fuga de los rebeldes de la…</t>
  </si>
  <si>
    <t>Indo, Manuel Angel</t>
  </si>
  <si>
    <t>Manuel Angel Indo</t>
  </si>
  <si>
    <t>…4495 D. Manuel dejas Fuentes: 34864 D. Pedro Josef Ramírez (de Santander): 44067 Do mingo Párramo___De 150 pesos de Setiembre de 1808: 176734 y 200685 Sr. tesorero general: 202814 D. Manuel Angel Indo: 202863 Domingo Pár ramo: 202951 D. Joaquín Casale: 203417 Domingo Párramo: 203537 y 204419 D. Manuel Angel Indo: 204975 D. Josef de las Barcenas: 207326 D. Manuel Angel Indo: 212981 y 216550 Sr. tesorero general-----Y por auto de 15 del corriente se ha comun…</t>
  </si>
  <si>
    <t>Infantado, Duque del</t>
  </si>
  <si>
    <t>Duque del Infantado</t>
  </si>
  <si>
    <t>…FICIO. Circular del Consejo Real. El Excmo Sr. D. Martin de Garay, Secretario de Estado y del Despa cho de Hacienda, ha comunicado al Consejo, por medio de su Presidente el Excmo. Sr. Duque del Infantado, la Real orden que dice asi: „EL Rey nuestro Señor, á consulta del Consejo de Hacienda en Junta de Comercio y Moneda, y á instancia del Consulado de Santander, solici tando se lleve á debido efecto el Real decreto de 14 de Diciembre de 174J, inserto en las or…</t>
  </si>
  <si>
    <t>Infante</t>
  </si>
  <si>
    <t>i6 sus comiste na&lt;ic&gt;$ confundidos del mayor respeto y veneración á los pies del trono de V. M.” Los mismos comisionados tuvieron la honra de felicitar con igual motivo al Sermo. Sr. Infante D. Cárlos. La villa de Requena de la provincia de Cuenca tuvo la honra en el día 19 del pasado á la hora de la corte de felicitar á SS. MM. y AA. por sus au gustos enlaces por medio de sus comisionados, que lo fueron los Sres. Don Luis Exarque y Cervera, canónigo de la…</t>
  </si>
  <si>
    <t>…rtos indicios de los deseos que abriga, quería adelantarse si fuese posible á solemnizar con la mayor pompa los matrimonios recientemente contraídos del Rey nuestro Señor y Sermo. Sr. Infante D. Cárlos María con las au gustas Princesas de Portugal Doña María Isabel la Reina nuestra Señora y Doña María Francisca de Asís de Braganza; y acercándose el dia de S. Cárlos, que lo era de su digno hermano' mayor el Sermo. Sr. Infante D. Cárlos , celebró junta general de s…</t>
  </si>
  <si>
    <t>…co discurso en portugués tuvo la honra de felicitar á S. M. y A. por su feliz arribo á la península, y sus faustos enlaces con el Re* nuestro Señor y su au gusto hermano el Sermo. Sr. Infante D. Cárlos, á cuyo homenage de fideli dad y respeto correspondieron tanto S. M. como S. A. R. con el agrado y benignidad que tanto las distingue. El dia 8 del pasado fueron admitidos á besar la Real mano de S. M. en nombre de la noble y leal villa del Pasage los Sres. D…</t>
  </si>
  <si>
    <t>23 Los mismos comisionados felicitaron el dia 13 con igual motivo al Sere nísimo Sr. Infante D. Cárlos. ARTICULO DE OFICIO. En la mañana del lunes 24 del pasado tuvo la honra de presentarse al Rey nuestro Señor y entregar sus credenciales en audiencia privada el Ex celentísimo Sr. conde Próspero Balbo, embajador de S. M. Sarda en esta corte, caballero de Ja sa…</t>
  </si>
  <si>
    <t>…Castro, teniente de S. A. R., á todas las autoridades, corporacio nes eclesiásticas, civiles y militares &amp;c.; y aunque no se colocó en la plaza en su balcón el retrato del Sermo. Sr. Infante D. Carlos María, su digno hermano mayor, con todo se dieron seis reales á los sargentos, y cuatro á los cabos, soldados y tambores que estaban destinados para acompañarlo y hacerle los honores. Concluido el refresco, las orquestas de música anuncia ron el baile, que iba á ce…</t>
  </si>
  <si>
    <t>38</t>
  </si>
  <si>
    <t>…te dar públicos testimonios á V. M. de cuan dulce es obedecer sus soberanos decretos.” Asimismo dichos comisionados en el día 4 del corriente pasaron al cuar to de S. A. el Sermo. Sr. Infante D. Cárlos, asegurándole en nombre de la misma villa los mas ardientes deseos de la prosperidad de las augustas casas de Borbon y Braganza; y tanto S. M. como S. A. manifestaron quedar com placidos. ______ _ ARTICULO DE OFICIO. Los tenientes generales D.Manuel Freire, D…</t>
  </si>
  <si>
    <t>…les y real cámara prioral, de la dirección general de Reales provisiones y maestrazgos, abogado asesor de las encomiendas de Jos Scrmos. Sres. Infantes Hermanos, de las del Sermo. Sr. Infante D. Cirios Luis, y de la diputación de reinos; diciendo el primero; „Señor: El prior y canónigos de la iglesia colegiata de Sta. María de la villa de Besalú, obispado de Gerona, nos han comisionado para tener el ho nor de felicitar á V. M. por su dichoso enlace con la Reina…</t>
  </si>
  <si>
    <t>…os de fidelidad y amor de su ciudad de Betanzos, dando gracias á ia diputación. En seguida tuvieron la honra los mismos diputados de felicitar con igual plausible motivo al Sermo. Sr. Infante D. Carlos. ARTICULO DE OFICIO. El Rey nuestro Señor se ha dignado conferir la capitanía general del egército y provincia de Extremadura, y la presidencia de su Real audiencia , al teniente general conde de Castroterreño. Por Real resolución de S. M., á consulta de su R…</t>
  </si>
  <si>
    <t>…a tólicos Fernando é Isabel.” S. M., con la bondad que le caracteriza, contestó el aprecio que le me recían las expresiones de la universidad. Habiendo pasado al cuarto del Sermo. Sr. Infante D. Cárlos, con igual motivo dijo el mismo lo que sigue : „ Sermo. Sr.: La universidad de Salamanca felicita á V. A. por su enlace con la Serma. Sra. Doña María Francisca de Asís de Braganza; y cuando contempla á V. A. el primer Gefe de las armas españolas, se lison jea…</t>
  </si>
  <si>
    <t>…homenage, será la prueba mas satisfactoria á estos leales vasallos de lo gratos que le han sido sus heroicos servicios.” En el propio dia los mismos señores felicitaron al Sermo. Sr. Infante Don Carlos por su contraido enlace con la Sra. Infanta de Portugal Doña María Francisca pe Asís. ARTICULO DE OFICIO. El Rey nuestro Señor, en atención á los méritos y servicios de D. Arflbrosio Plazaola , contador general de las encomiendas de los Sennos. Sres. In fante…</t>
  </si>
  <si>
    <t>…usa de la justicia y del honor, hasta que después del triunfo de esta pudieron volver á cultivar las letras en su an tigua morada.” La diputación pasó después al cuarto del Sermo. Sr. Infante D. Carlos, á quien tuvo la honra de felicitar con igual motivo,.</t>
  </si>
  <si>
    <t>…de sitio que sufrió aquella plaza, obligó á los enemigos á confesar que la España era inconquistable.” En el propio dia y con igual motivo tuvieron la honra de felicitar al Sermo. Sr. Infante D. Carlos. El mismo dia tuvieron el honor de felicitar á SS. MM. por su efectuado enlace, en nombre y representación del ayuntamiento de la Real villa de Alcoy, los RR. PP. D. Buenaventura Gosalbes y D. Juan Gosálbes, pre fectos de las dos casas de esta corte de clérig…</t>
  </si>
  <si>
    <t>…rse ni la asignación de las que se proveyesen á las facultades que se señalan, ni su distribución en sugetos de los cinco territorios que se designan , lo hizo pre sente al Sermo. Sr. Infante D. Cárlos , protector de los colegios , en consulta de 24 de Agosto último , proponiendo el medio que creía podría adoptarse para conciliar la apertura de dichas casas con la observancia en lo posible de lo dispuesto en el reglamento: S. A. se dignó conformar con el pa…</t>
  </si>
  <si>
    <t>…a.” A que S. M. se digno contestar que estaba muy agradecido; dispensán doles el honor de besar su Real mano. En seguida la misma diputación cumplimentó con igual objeto al Sermo. Sr. Infante D. Carlos, y S. A. se dignó contestar coa el agrado que le ca racteriza. ARTICULO DE OFICIO. Circulares del Ministerio de Guerra. i.a El Tribunal de la Santa, Real.y Vieja Hermandad de Ciudad-Real</t>
  </si>
  <si>
    <t>…us augustos enlaces matrimoniales con la Reina nuestra Señora, el limo. Sr. D. Anto nio María Izquierdo, ministro honorario de la Real cámara de Castilla , y secretario del Sermo. Sr. Infante D. Carlos María, y el Sr. D. Francisco M ¡ría Riesco , inquisidor del tribunal de Corte; en cuyo acto ratificaron los testimonios de lealtad que á S. M. manifestaron cuando le felicitaron por el ajuste y convenio de dichos Reales enlaces, repitiendo de nuevo los home najes d…</t>
  </si>
  <si>
    <t>129</t>
  </si>
  <si>
    <t>…s de lo grata que le era la atenta gratulación de la expresada ciu dad de Llerena con las expresiones mas sinceras de su Real beneficencia. Pasaron en seguida al cuarto del Sermo. Sr. Infante D. Carlos María, con quien practicaron igual atenta felicitación, y S. A. manifestó en respuesta lo complaciente que le era con la dulzura de su generoso carácter. ARTICULO DE OFICIO. Con fecha del 20 de este mes ha dirigido el Rey nuestro Señor á su Se cretario del despacho…</t>
  </si>
  <si>
    <t>…os son los votos de la santa iglesia de Oviedo, á quien tengo el honor de representar.” £í dia siguiente tuvo el mismo comisionado la honra de felicitar con igual motivo al Sermo. Sr. Infante D. Cárlos. ARTICULO DE OFICIO. S. M. se ha servido expedir el decreto siguiente: „Por mi Real decreto de 23 de Diciembre del año próximo pasado tuve á bien encargar el despacho interino de mi secretaría de Estado de Hacienda á mi consejero de Estado honorario D. Martin…</t>
  </si>
  <si>
    <t>154</t>
  </si>
  <si>
    <t>…mayor expresión lo grata que le ha sido la conducta del consulado, dando gracias á ía diputación. Los mismos diputados fueron admitidos en seguida á felicitar con igual motivo ai Sr. Infante D. Carlos, de quien recibieron la contestación mas afectuosa. ARTICULO DE OFICIO. Circular del Consejo Real. Restablecido el Consejo Real y Supremo de S. M. en Junio de 1814, para llenar una de sus mas estrechas obligaciones renovó en circular de 27 de Julio del mismo…</t>
  </si>
  <si>
    <t>…e sus pueblos, é ilumine sus corazones para dirigirlos en justicia y en paz como desean.” En seguida tuvieron dichos comisionados la honra de felicitar con igual motivo al Sertno. Sr. Infante D. Carlos. El dia j de Enero tuvieron la honra de presentarse al Rey nuestro Se ñor y de besar su Real mano el teniente coronel D. Fernando Chaparro, capitán del regimiento de infantería de Ordenes Militares, caballero de la Real y militar orden de S. Hermenegildo, con…</t>
  </si>
  <si>
    <t>…ersidad de Alcalá de Henares; y el primero dijo : „Señor: Vuestra fiel universidad de Alcalá, singularmente honrada por vuestra augusta Persona y la de vuestro caro Tio el Serino. Sr. Infante Don Amonio, su gran Protector, en los dias 10,11 y 12 del próximo Agosto, se presenta en este á renovar sus constantes pruebas de amor y fidelidad, acom pañadas del mas verdadero júbilo y alegría por vuestro feliz matrimonio con la augusta Reina Doña María Isabel de Bra…</t>
  </si>
  <si>
    <t>…V. M. sus incesantes votos por la prosperidad de vuestra Real Persona y augusta familia para bien de la religión y de la monarquía.’* Seguidamente pasaron á cumplimentar al Sermo. Sr. Infante D. Cárlos,y contestó manifestando su agradecimiento. El mismo dia se presentó una diputación de la villa de Morella, com puesta de su gobernador el brigadier D. Rafael Pascual, caballero de la orden Real y militar de S. Hermenegildo, y de justicia en la orden de S. Jua…</t>
  </si>
  <si>
    <t>…ondos otras cinco de á 6o ducados, que son las mismas que se han adjudicado, Madrid ij de Febrero. Comisionados por la ciudad de Lorca para felicitar al Rey nuestro Señor y Sermo. Sr. Infante D. Cirios por sus efectuados enlaces D. Francisco López Alcaráz , caballero pensionista de la Real y distinguida orden espa ñola de Cirios ni, secretario de S. M. con egercicio,y ministro del supremo Consejo de Hacienda; D. Francisco Barradas, mariscal de catnpo de los…</t>
  </si>
  <si>
    <t>…cielo prolongue por muchos años el dichoso reinado de V. M. para bien de la monarquía, y para consuelo de todos sus vasallos.” En seguida tuvieron la honra de felicitar al Sermo. Sr. Infante D. Carlos con igual motivo; y tanto S. M. como S. A. se dignaron manifestar el apre cio con que recibían este homenage de amor y fidelidad. En el suplemento á la gaceta de 25 de Enero último para la prontitud y formalidad con que deben presentarse las reclamaciones de…</t>
  </si>
  <si>
    <t>En seguida pasaron los mismos comisionados á felicitar con igual motivo al Sermo. Sr. Infante D. Carlos, quien tuvo la dignación de recibir .con el mayor aprecio tan debido hornenage. El 28 del mismo tuvo el honor de cumplimentar á SS. MM. y AA. por su augusta enlace en nombre de la villa de Reínosa el Excmo. Sr. marques de Cilíeruelo, del consejo de S.M. en el…</t>
  </si>
  <si>
    <t>…inando V. M. con su augusta Esposa María Isabel dilatados años,se renueven los de los Católicos Reyes vuestros abuelos Fernando é Isabel.” En seguida pasaron al cuarto del Serrno. Sr. Infante D. Carlos, á quien felicitaron por igual motivo; y tanto S. M. como S. A. R. les contestaron con aquella afabilidad y dulzura propias de su carácter. ARTICULO DE OFICIO. El Rey nuestro Señor se ha servido expedir el Real decreto siguiente: „La ventajosa situación en qu…</t>
  </si>
  <si>
    <t>…a, cuyas vidas rogamos al Todopoderoso conserve los muchos años que deseamos, y toda la monarquía para su bien necesita.” Con igual fecha felicitó el. mismo ayuntamiento al Sermo. Sr. Infante Don Carlos.. A R T ICELO D E O F I C I O. Circulares de la Dirección general de Rentas. i.a Para asegurar la confianza y religioso pago de los contratistas de ta baco ,y al mismo tiempo ia abundancia y buena calidad del género, se man dó por Real orden de 26 de Noviembr…</t>
  </si>
  <si>
    <t>…respondiente grandeza la nación que gobiernan, y que ha decaído por causas que está en su mano remediar.'’ En seguida tuvieron la honra de felicitar con igual motivo á S. A. R. el Sr. Infante D. Cárlos. ARTICULO DE OFICIO. Circular de la Contaduría general de Pósitos. Por el artículo 25 de la Real instrucción de 2 de Julio de 1792 , en que se prescriben las reglas para el gobierno y dirección de los Pósitos del Reino, se previene terminantemente que las Jun…</t>
  </si>
  <si>
    <t>…cididos de obediencia, fidelidad y acendrado amor con el mas desea do parabién.” Iguales expresiones de homenage y felicitación, aunque con distintas vo ces , dirigieron al Sermo. Sr. Infante D. Cárlos por su matrimonio contraí do con la Serma. Sra. Infanta Doña María Francisca de Asís. Deseosos el ayuntamiento y Real consulado de la ciudad de Santander de manifestar al Rey nuestro Señor las rendidas expresiones de júbilo por el deseado fruto de su augusto…</t>
  </si>
  <si>
    <t>…pos resplandecieron en unas casas donde él fue edu cado ; encargando á todos diesen las debidas gracias al Todopoderoso, á nues tro ainado Soberano, á su augusto Hermano el Sermo. Sr. Infante D. Carlos, por la especial protección que dispensa á estas casas, y á la Real junta encar gada de su restablecimiento por el infatigable zelo con que ha contribuido al efecto. En seguida, tomando juramento al rector de egercer bien y fiel mente su oficio, le puso la be…</t>
  </si>
  <si>
    <t>…de la Real chancillería de Valladolid, y comisionado por S. M. en esta ciudad, y se concluyó con muchos brindis á la salud de nuestro amado Soberano Don Fernando vii , del Sermo. Sr. Infante D. Cárlos, de los Sres. de la Real junta, del Sr. subdelegado, y de todo el vecindario que los había honrado. Salieron por la tarde todos juntos de paseo, y se repitieron los vivás y acla maciones. A las siete de la tarde, después de iluminada toda la fachada del coleg…</t>
  </si>
  <si>
    <t>…or la prosperidad de las importantes vidas de VV. MM. y el mayor auge ae su grandeza.” En seguida los mismos comisionados tuvieron la honra de felicitar con igual motivo al Sermo. Sr. Infante D. Cárlos. ARTICULO DE OFICIO. S. M. se ha servido nombrar para la vara de alcalde mayor segundo de la ciudad de Zaragoza á D. Juan María de la Torre: para la de Tarragona á D. Manuel de Rada: para la de la villa de Enguera á D. Juan Antonio Bolaño; y para la de Cheite…</t>
  </si>
  <si>
    <t>…na nuestra Señora vea rodeado su trono de una numerosa descendencia, que sea delicia de sus Padres y consuelo de los vasallos.” Después pasó la comisión á la habitación del Sermo. Sr. Infante D. Car los , y el propio presidente de ella arengó á S. A. en esta forma : „Señor: Una de las felicidades mayores que Dios puede conceder al hom bre, es darle una compañera digna de él. V. A. ha logrado esta dicha; y villa de Alcira manifiesta por nuestro medio su s…</t>
  </si>
  <si>
    <t>…or D. Ignacio Graells, médico titular de Carabanchel de abajo.” S. M. se dignó contestarles con la amabilidad que le es propia. En seguida pasaron á felicitar á S. A. R. el Sermo. Sr. Infante D. CárloSj que se dignó admitirlos. ARTICULO DE OFICIO. Circular de la Dirección general de Rentas. Por el Ministerio de Hacienda se ha comunicado á esta Dirección general la Real orden siguiente: ,, Habiendo dado cuenta al Rey del expediente de D. Félix Agustín, nombra…</t>
  </si>
  <si>
    <t>…Nueva colección de muestras originales del carácter bastardo español á la ingle sa, por el P. Santiago Delgado de Jesús y María, sacerdote denlas Escuelas Pías, dedicada al Sermo. Sr. Infante D. Cárlos. Comprende desde los elementos del arte calográfica hasta la letra corriente de cartas, de que se pone egemplar; repartida en 16 láminas grabadas por D. Josef Asensio, grabador de S. M. En dicha colección ha dado el autor á su forma mas ligereza y gallardía q…</t>
  </si>
  <si>
    <t>…na Real Esposa los muchos años que interesan al bien de la religión y del Estado, que miran en V.M. su mas grato y sólido apoyo.” En seguida felicitaron con igual motivo al Sermo. Sr. Infante D. Carlos en los términos siguientes: „ Sermo. Sr.: La ciudad de Ronda, cuya fidelidad y valor son solo com parables á la razón con que ama á su Soberano y Real familia, nos encarga felicitar á V. A. por su plausible enlace con la Infanta nuestra Señora, y poner á S. R…</t>
  </si>
  <si>
    <t>420</t>
  </si>
  <si>
    <t>…al alimento y á este género de trabajo,, mue ren muchos de ellos ó* ESPAÑA. Madrid 21 de Abril. ARTICULO DE OFICIO. A las ir de la noche del lunes 14 del corriente se vio el Sermo.Sr. Infante D. Antonio acometido de vómitos, que duraron por espacio de cinco horas sin interrupción, y acompañados de un estado espasmódico general, que conti nuó hasta 30 horas con trastorno de las facultades intelectuales y de la locu ción. La vehemencia de estos síntomas, que d…</t>
  </si>
  <si>
    <t>…ión muy apreciable. „ Reciba V. M. esta prueba de sus sentimientos, y permítanos que en su nombre besemos su R M.” En seguida pasaron después con igual objeto al cuarto del Sermo, Señor Infante D. Carlos, á quien cumplimentaron diciendo: ,,Señor: El cabildo de Urgel creería que no era completa su satisfacción, si no manifestaba á V. A. la que tiene por su dichoso enlace con la Serenísima Señora Infanta de Portugal Doña María Francisca de Asís, sobre quienes p…</t>
  </si>
  <si>
    <t>…a, virey de Nueva-España. Madrid 5 de Mayo. ARTICULO DE OFICIO. Real orden comunicada por el Ministerio de Marina al Consejo de Al mirantazgo. El doloroso fallecimiento del Sermo. Sr. Infante D. Antonio, coronel de Reales guardias Marinas, almirante general de España é Indias , y protector del comercio marítimo, tan lamentable para toda la armada, como sensible es para el Rey nuestro Señor,en el momento precisamente que cumpliéndo se sus altas miras habían d…</t>
  </si>
  <si>
    <t>…spaldo del diploma ó cédula de su concesión , como en el artículo anterior. 6.ü Por último y en general el Consejo de Marina debe desempeñar las atribuciones que egercia el Serme. Sr. Infante, y eran las de director general de la arma da, entendiéndose derechamente con este ministerio de Marina en todo lo que haya de darse cuenta á S. M., quien asimismo se ha servido declarar su so berana voluntad de seguir despachando por sí todo lo relativo al e…</t>
  </si>
  <si>
    <t>…antes, que tienen el honor de ponerse hoy á los pies del trono con el gusto de esta enhorabuena.” En seguida pasaron los mismos comisionados á felicitar con igual motivo al Sermo. Sr. Infante D. Cárlos. S. M. y A. R. manifestaron *su aprecio con la bondad que los caracteriza. ARTICULO DE OFICIO. Circular del Ministerio de Guerra. Al inspector general de caballería digo con esta fecha lo que sigue: „Excmo. Sr.: Persuadido el Rey nuestro Señor de lo convenien…</t>
  </si>
  <si>
    <t>501</t>
  </si>
  <si>
    <t>…ión de S. M. Católica un collar de la orden de S. Andrés y las grandes cruces de las demas órdenes de su imperio para conferirlas en su nombre y condecorar con ellas á S. A. R. el Sr. Infante D. Cárlos María, se sirvió S.M. fijar eí dia 9 del presente para la ceremonia de la investidura, que se verificó del modo siguiente: El Rey, en presencia de S. M. la Reina y de S. A. R. la Sra. Infanta, rodeado de los gefes de palacio, revestido del manto y del collar de la…</t>
  </si>
  <si>
    <t>…do el Emperador mi amo dar á V. M&gt; una nueva prueba del afecto que profesa á su Real Persona, en reciprocidad del que V. M. le ha manifestado constantemente,acordó dar áS. A.R. el Sr. Infante D. Carlos Ma ría un testimonio público de su aprecio, nombrándole caballero de la orden de S. Andrés; y yo tengo el honor de presentar á V. M. esta insignia de parte del Emperador mi amo, rogando á V. M. se digne condecorar con ella á su augusto Hermano.’' Después de habe…</t>
  </si>
  <si>
    <t>…añadiendo que se les hiciese entender asi á sus ama dos vasallos de Peñafiel, cuya generosidad tendría siempre presente. En seguida pasaron á felicitar con igual motivo al Sertno. Sr. Infante Don Cárlos. ARTICULO DE OFICIO. Circular del Consejo Real. La Junta de gobierno del monte pío de corregidores y alcaldes mayo res hizo presente á S. M. con fecha 6 de Diciembre del año pasado de 1815 que al crearse aquel establecimiento por Real decreto de 7 de Noviembr…</t>
  </si>
  <si>
    <t>…bulas del traductor en la librería de Viilareal, calle de las Carretas: un torno en 4.0 á 20 rs. en pasta y 16 en rústica. Minué fúnebre para forte piano á la muede de S. A. S. el Sr. Infante D. Anto nio, compuesto y dedicado á la Reina nuestra Señora (que Dios guarde) por Ra fael Compta. Se hallará en el almacén de música, carrera de S. Gerónimo, y en la tienda de ingleses de la calle del Príncipe, á 4 rs. vn. EN LA IMPRENTA REAL.</t>
  </si>
  <si>
    <t>…tropas de la guarnición. Todos los dias vienen buques cargados de granos en mucha abundancia. PAIS ES-BA JO S-U NIDOS. Bruselas 1$ de Mayo. Con motivo del fallecimiento del Sermo. Sr. Infante D. Antonio, tío de S. M. Católica, ha mandado el Rey de los Países-Bajos que la corte se vista de luto durante ocho dias. Idem 22. Hace algún tiempp que unos refugiados franceses redactaban en esta ca pital una gaceta incendiaria, en la cual atacaban con la mayor impude…</t>
  </si>
  <si>
    <t>…érmino de un mes, con tado desde su publicación. España feliz con la industria perfeccionada por el dibujo: discurso leído en la Real academia de S. Fernando, y dedicado al Scrmo. Sr. Infante D. Carlos María, gefe principal de todos los establecimientos de nobles artes en España, por el señor vice-protector actual de la misma academia: publicado por este Real cuerpo, é im preso de orden superior en la Real imprenta: un tomito en 8.° mayor á 6 rs. en papel fino de…</t>
  </si>
  <si>
    <t>…en negro y 16 i lumÍnado. Se hallará en el almacen de estampas, calle Mayor, frente á la casa del conde de Oñate, con los dos de igual tamaÍlo del Rgy nuestro Senor y del Se rmo. Sr. Infante D. Chlos, sacados de los que ha pintado D. Vicente Lopez, primer piAlor de S. AtI., que S! publicaron el año anterior. N uevo retrato de la REINA dI.! España Doiía lVIARIA ISABEL DE BRAGA NZA, cO~EY " dibujado y gra ...piado dd bust~ que hizo I? Josef Ginés., primer e…</t>
  </si>
  <si>
    <t>…estatutos de la misma capilla solo puede trasladarse á ella desde la Reai armería, donde existe en depósito. Al siguiente día 2 á las diez de la mañana se sirvieron S. M. y A. el Sr. Infante D. Carlos pasar á la citada iglesia, donde se formó el capítulo, que constaba de 84 caballeros de la Real y militar orden de S. Fernando: se celebró una solemne misa, en la que ofició de pontifical el Emo. Señor cardenal Nuncio de S. S., con asistencia de la música de…</t>
  </si>
  <si>
    <t>…cuartos.] GACETA DE MADRID DEL SABADO 19 DE JULIO DE 1817. RUSIA. Petersburgo 2 de Junio. Desde mañana se vestirá esta corte de luto por ocho dias con motivo del fallecimiento del Sr. Infante D. Antonio, tio del Rey de España, AUSTRIA. Viena de Junio. El 13 de este mes llegó á Florencia la Archiduquesa Leopoldina , ha biendo pasado por Padua y Venecia. Salió á recibirla al camino el gran du que de Toscana, y en el palacio Pitti la recibió toda la familia duc…</t>
  </si>
  <si>
    <t>…n relación con él; concluyendo con elogiar el zelo del cuerpo patriótico, y la benéfica protección del Soberano, que pocos dias antes, acompañado de su augusta Esposa y del Sermo. Sr. Infante, se habia dignado examinar por sí mismo durante tres horas este establecimiento. Con cluido esto los discípulos presentaron escrito en caracteres comunes el trozo del impreso que se les habia leído,y habían copiado en caracteres taquigráfi cos, en lo cual man…</t>
  </si>
  <si>
    <t>…á las siete de la tarde se ha acostado sin haber tenido vahído „ debilidad ni otro síntoma alguno de los que se podían esperar des pués de un parto laborioso.” S. A. R. el Sermo. Sr. Infante D. Cárlos, gefe principal de la Real aca demia de S. Fernando, se ha servido señalar el dia i.° del próximo mes de Setiembre para que se abran ai público todos los dias de fiesta y de trabajo hasta el fin del mismo mes, desde las ocho de la mañana hasta las dos de la t…</t>
  </si>
  <si>
    <t>…stra Señora y la Serma. Sra. Infanta Doña María Isabel Luisa siguen sin novedad en su importante salud. El martes 2 del corriente se dignaron el Rey nuestro Señor y el Serení simo Sr. Infante D. Carlos honrar con su presencia la apertura del estudio físico-químico establecido en palacio. Este establecimiento, fundado por los esmeros de S. A. el Serillo. Sr. Infante D Antonio (que de Dios goce") á fa vor de 20 discípulos, es útil en el día á mas de 70 person…</t>
  </si>
  <si>
    <t>…rvancia se comunicasen las ór denes convenientes. Asi se hizo con fecha de 26 del pasado á todas las uni versidades del reino. A instancias del R. P. prior se ha dignado el Sermo. Sr. Infante D. Car los acoger bajo su inmediata protección dichos estudios del colegio de Santo Tomas, Jos cuales se abrirán el dia 15 de este mes dando principio á ellos por una oración latina que pronunciará en el gimnasio de teología el R. P. Fr. Josef Fernandez de Narayo, r…</t>
  </si>
  <si>
    <t>…eso de Viena, quedando asi incorporado en la grande Confederación Europea. Por otro queda sancionada la reversión de los Ducados de Parma, Plasencta y Guastala en favor del Sermo. Sr. Infante D. Carlos Luis; y los Estados de Lúea con las asignaciones estipuladas hasta el momento de la reversión en el de S. M. la Serma. Sra. Infanta Reina de Etruria. Por otro en fin ha acce dido S. M. y entrado en la participación de las ventajas de los tratados con cluidos cón l…</t>
  </si>
  <si>
    <t>…es por la prosperidad de la Real cabaña, hizo varias preguntas relativas á su estado, á las que contestó oportunamente el señor presidente. En seguida pasaron al cuarto del Sermo. Sr. Infante D. Carlos María Isi dro ; y con motivo de haber sido incorporado por S. M. como hermano de dicho honrado concejo, el mismo señor presidente dijo: ,,Sermo. Sr.: El honrado concejo de la Mesta, ó la Real cabaña de S. M., acaba de congregarse en este dia, como mandan sus leyes} par…</t>
  </si>
  <si>
    <t>1091</t>
  </si>
  <si>
    <t>…ba dispuesta del modo siguiente: en su fondo se veia el retrato del Rey nuestro Señor bajo de dosel, con la silla que debía ocupar S. M. vuelta; á su derecha se halla ba el Sermo. Sr. Infante D. Carlos, vice-presidente; frente al dosel la mesa traviesa , á cuyos lados estaban situados los Excmos. Sres. vocales de la di putación , y en dos filas de bancos paralelas, é indistintamente, los demas in dividuos de la Grandeza asistentes á la junta. Observado el o…</t>
  </si>
  <si>
    <t>…ica de las obras de pintura y escultura de la Real academia de S. Fernando de esta capital, que había empezado el dia i.° del mes anterior, y por disposición de S. A. R. el Sermo. Sr. Infante D. Carlos1, que se dignó acceder á los deseos del público, se prolongó hasta aquel dia. En todos ellos fue numerosísimo el concurso de gentes que acudieron á admirar las preciosas obras de la escuela española, y de las mas célebres extrangeras que posee la academia, fr…</t>
  </si>
  <si>
    <t>…las tropas de la guarnición, cuyas músicas marciales alternaban con los vivas del inmenso gentío. AI dia siguiente en celebridad de los dias del Rey Padre y de S. A. R. el Sermo, Sr. Infante D. Carlos, se vistió la corte de gala y hubo besamanos,al que asistieran los grandes de España , los diputados de los reinos, los embaja dores y ministros extrangeros, los ministros de los Consejos., los generales y gefes miHtares, y otras varias personas, que con tan…</t>
  </si>
  <si>
    <t>…arán las semillas de seducción con que el libertinage audaz no pierde ocasión de atentar contra la seguridad de los Estados.” En virtud de la misma comisión felicitó á S. A. S. el Señor Infante Don Carlos como sigue: „Sermo. Sr.: La Real y pontificia universidad de Caracas, que en la persona de V. A. contempla un Príncipe amado, y un protector decidido de las letras, me ha honrado mandándome felicitar á V. A. S. por su feiiz enlace con la Serma. Sra. Infanta D…</t>
  </si>
  <si>
    <t>…ica y en la química. ESPAÑA. "Ronda 4 de Noviembre. El Real cuerpo de maestranza caballería de esta ciudad, en celebridad del plausible dia de su dignísimo hermano mayor el Sermo. Sr. Infante Don Cárlos María, y en observancia de su instituto, se formó á caballo en la tar de del día 4 del corriente en las puertas de las casas donde celebra sus fun ciones, y se hallan destinadas por el Sr. D. Cristóbal de Aviles Casco y Cas tro, teniente de S. A. R., con su música…</t>
  </si>
  <si>
    <t>…cciones elementales de química teórica y práctica para servir de base ai curso de las ciencias físico-químicas, establecido en el Real palacio bajo la dirección de S. A. Serma. el Sr. Infante D. Cáilos: tomo 3.0 Véndese con los dos anteriores en el despacho de la imprenta Real á 26 rs. en rústica. Fuero juzgo en latín y castellano, cotejado con los mas antiguos y preciosos có dices por la Real academia Española: un tomo en folio. El objeto de la academia en…</t>
  </si>
  <si>
    <t>…anta Doña María Francisca de Asís, y en su Real nombre el Excmo. Sr. D. Fer nando Qneypo de Llano, gentilhombre de cámara de S. M. con egercicio, y secretario de cámara del Sermo. Sr. Infante D. Carlos María y de su A. R. ia Serina Sra. Infanta Doña María Francisca de Asís; habiéndosele puesto el nombre de María Francisca de Asís por disposición de su augusta madrina. Concluido tan solemne y sagrado acto celebró el R. P. referido el santo sacrificio de la misa, y…</t>
  </si>
  <si>
    <t>…los demas en varias fle cheras y dos goletas que les auxiliaron por mar. El Emperador de Austria se ha dignado conceder la gran cruz de la Or den Real de S. Esteban de Hungría al Sr. Infante D. Carlos Luís, al Señor duque de S. Carlos y al Sr. D. Josef de Pizarro, primer Secretario de Esta do y del Despacho; y el Rey nuestro Señor ha tenido á bien conceder á es tos últimos licencia para aceptarlas. El Rey nuestro Señor se ha dignado condecorar al Príncipe de Me…</t>
  </si>
  <si>
    <t>I4i8 sarle el Rht noestro Señor, habiendo nombrado por protector de ella á sq augusto Hermano el Sermo. Sr. Infante D. Cárlos« Madrid 2 6 de Diciembre. ARTICULO DE OFICIO. Real cédula de S. M. y Sres. del Consejo. Don Fernando vii, por la gracia de Dios Rey de Castilla., de León, de Aragón &amp;c. &amp;c. &amp;c. A los del mi Consejo, Presidentes, Regentes &amp;c., sabed: Qae por D. Josef Antonio S…</t>
  </si>
  <si>
    <t>Infante-D</t>
  </si>
  <si>
    <t>…Real sucesión, que tan en breVe va á ser el complemento del júbilo y felici dad de nuestra España.’1’ ^ Seguidamente pasaron los mismos comisionados á cumplimentar al Sere nísimo Sr. Infante-D. Cátios con igual motivo. ARTICULO DE OFICIO. El Rey nuestro Señor, con fecha de 30 del mes próximo pasado, se lia servido dirigir al decanó del Consejo el Real decreto siguiente: ,, En atención á la súplica que mé ha hecho la ciudad de Santander para dar un…</t>
  </si>
  <si>
    <t>Infaute</t>
  </si>
  <si>
    <t>…colegio, que estaba colgada con magnificencia y dignidad , y en la cual se veian colocados en los lugares correspondientes el retrato de S. M., el de su augusto Hermano el Sermo. Sr. Infaute D. Cárlos, protector de los colegios mayores, y el del gran cardenal D. Pedro González de Mendoza, fundador de esta casa, abrió el acto el primero con un breve pero enérgico discurso, en que, anunciando á los concurrentes el motivo de su reunión, hizo un ligero resúmen…</t>
  </si>
  <si>
    <t>Inglestone</t>
  </si>
  <si>
    <t>…e los ingleses que se han embarcado en Douvres para el continente se cita al marques de Douro, hijo del duque de Weliington, á lord Ch. Wellesley , al Príncipe de Castelcicala, al general Inglestone con su familia , á lord Darlington y al general Constant. Hay actualmente en los tribunales 6o causas de falsificación de la moneda nueva. El Príncipe Regente tuvo el 15 de este mes un consejo, en que se le hizo relación de las sentencias de muerte pronunciad…</t>
  </si>
  <si>
    <t>Inlante</t>
  </si>
  <si>
    <t>…ostumbrada amabilidad, haciendo el mayor aprecio de este homenage tan leal de aquel prior y canónigos. Luego pasaron los mismos comisionados á felicitar con igual motivo al Sermo. Sr. Inlante D. Carlos, quien se dignó admitirles á besar su Real ma no; contestando que agradecía mucho esta demostración tan afectuosa que le hacia aquel prior y canónigos. En el dia 5 de Diciembre tuvieron el honor de presentarse á felicitar á S. M. y besar su Real mano, con mot…</t>
  </si>
  <si>
    <t>Insunsarri, Agustín</t>
  </si>
  <si>
    <t>Agustín Insunsarri</t>
  </si>
  <si>
    <t>…n adicto al estado mayor D. León Iturbe, que con una herida abierta en el pecho estuvo mandando las primeras guerrillas, y fue atravesado de un balazo: el subteniente de Barbastro D. Agustín Insunsarri, que aun no tenia cerradas las que recibió en el asalto de Barcelona, y lo hirieron á lanzadas gravemente: el teniente coronel gefe del estado mayor de la división expedicionaria D. Agustín Otermin; el capitán D. Juan Neporrmceno Montero y el teniente D. Bern…</t>
  </si>
  <si>
    <t>Ios</t>
  </si>
  <si>
    <t>…rlos ni, secretario de S. M. con egercicio de decretos, y oficial segundo de la secretaría de Estado y del despacho de Gracia y Justicia, y por los regidores vizconde de Revilla y D. Ios&lt;?f de Pando, caballero de la misma R eal orden, tuvo el honor de ser admitido en el dia 13 del corriente á besar la Real mano de SS. MM. y AA., y felicitarles por sus augustos enlaces , y el declarado embarazo de la Reina nuestra Señora; y dijo: ,,Señor: La l…</t>
  </si>
  <si>
    <t>Ipsilanti</t>
  </si>
  <si>
    <t>…culas. Ya se fingía un príncipe de la familia de los Borbones amigo de Bonaparte; ya decía que era Gerónimo Bonaparte; en seguida se vendia por marques de Senecey, y en fin por un príncipe Ipsilanti.__ Siendo este aventurero enemigo del Go bierno actual, no cesaba de anunciar la vuelta del tirano, y logró engañar á ciertas gentes faltas de juicio y de luces que se lisonjeaban con tan locas es peranzas. Al fin se desvanecieron estas, y el impostor ha sido…</t>
  </si>
  <si>
    <t>Irazazabal, Rafael de</t>
  </si>
  <si>
    <t>Rafael de Irazazabal</t>
  </si>
  <si>
    <t>…o sus deberes á mi satisfacción , y son por tanto dignos de mucha recomendación; pero se distinguieron muy particularmente los capitanes D. Joaquín Rivaherrera ,de Fernando vil, y D. Rafael de Irazazabal, de urbanos de Cuernavaca, que me acompañó y mandó la guerrilla con mucho valor; los tenientes de aquel cuerpo D. Joaquín González y Don Martin Casas; el de esta clase D. Eugenio Revilla, comandante de la prime ra compañía de mi regimiento, á quien encargué e…</t>
  </si>
  <si>
    <t>Iriberri, Josef Joaquín de</t>
  </si>
  <si>
    <t>Josef Joaquín de Iriberri</t>
  </si>
  <si>
    <t>…para su inteligencia y cumplimiento en la parte que le toca. Dios guarde á V. muchos años. Madrid 15 de Mayo de 1817. El Rey nuestro Señor se ha servido conceder su Real permiso á D. Josef Joaquín de Iriberri, oidor de la Real audiencia de la Coruña , para que pueda usar la condecoración de la flor de lis con que le ha agraciado S. M. Cristianísima.</t>
  </si>
  <si>
    <t>Isa</t>
  </si>
  <si>
    <t>…Beltran , Doña Jocefa Andrés y Serra, Doña Josefa Bur gués, Doña María Dominga Aparici, Doña Carmen Sala y Corones, Doña Magdalena Prat, Doña Vicenta Vidal, Doña Vicenta Carruana, Doña Isa bel María Morera, Doña Bernarda Palomares y Doña Antonia Chaubet. D espues de esto, habiendo ocupado los premiados el lugar distinguido según costumbre, y cesado la múdea que solemnizaba este tierno acto, el socio de mérito P. Rafael del Angel Custodio, recto…</t>
  </si>
  <si>
    <t>Isabel</t>
  </si>
  <si>
    <t>…allero de la Real distinguida orden de Cários ni, y de D. Juan Cardona, guardia de la Persona del Rey , á cumplimentar á S. M. por su verificado enlace con la Reina nuestra Señora Doña Isabel de, Braganza ; pronunciando el ci tado gobernador la siguiente arenga: ,,Señor: El gobernador del partido de Morella, con su diputación , se presentan á V. M. con el honorífico encargo de felicitar á su amado ¿Monar ca á nombre de la fiel villa de Morella y s…</t>
  </si>
  <si>
    <t>…............ 6 ....... 1 Estado rnoj or«.«.« ....... 1 . «^»«.&lt; Total............ 1 8 64 8r *7 1 9 Nota. Los oficiales muertos son el capitán de cazadores del batallón de Ja Reina Doña Isabel D. EIoyiGarcía y el subteniente del regimiento de Navarra D. Cosme Payés. Los heridos son el comandante de Burgos, eefe de estado mayor de la división expedicionaria, D. Agustín Otermin, el adicto á dicha división D. León Iturbe , el capitán graduado de teniente coronel Don…</t>
  </si>
  <si>
    <t>El general en ‘gefe recomienda la conducta que han observado todos los cuerpos"de que se componía el egército en este dia, haciendo particular men ción del batallón de la Reina Doña Isabel, cuyos soldados, todos del pais, se han portado con tal denuedo y bizarría, que han merecido su reconoci miento. Elogia muy particularmente al Comandante de dicho batallón Don Eugenio Arana, que ha contraido muchos méritos en aquel pais, y tiene di cho cuerpo…</t>
  </si>
  <si>
    <t>…ue continuaron defendiéndose. En 20 de Junio desembarcó en punta de Mangles el coronel D. Juan ¿41dama con parte del regimiento de la Union y el batallón de cazadores de la Reí na Doña Isabel, cuyas fuerzas ascendían á 1200 hombres. Al dia siguien te se comenzó el movimiento con dirección al pueblo de Porlamar, y aque lla noche hicieron alto las tropas en el hato de Mascano , de donde fueron arrojados los rebeldes por la compañía de granaderos y c…</t>
  </si>
  <si>
    <t>…. M. la mas completa enhorabuena por el feliz y dichoso parto de la Reina , su muy amada y digna Soberana.” El dia 16 de Octubre por la mañana fue vacunada la Serma. Sra. In fanta Doña Isabel por el primer cirujano de cámara D. Agustín Frutos, ha biéndola hecho dos incisiones en cada brazo con el pus tomado del brazo de otra niña: á los ocho dias se reconocieron las incisiones, y se vio que las dos del brazo izquierdo habían producido el efecto de…</t>
  </si>
  <si>
    <t>Isabel, María</t>
  </si>
  <si>
    <t>María Isabel</t>
  </si>
  <si>
    <t>…colegiata de Sta. María de la villa de Besalú, obispado de Gerona, nos han comisionado para tener el ho nor de felicitar á V. M. por su dichoso enlace con la Reina nuestra Señora Doña María Isabel. Aquel cabildo, Señor, recordando las piedades de los augustos antecesores de V. M., y cuanto ha merecido su iglesia y villa á los condes de Besalú, cedió desde los primeros sucesos de Bayona á los impul sos de amor y lealtad á su Rey, y sin atender á su crít…</t>
  </si>
  <si>
    <t>…llas de Berja, Adra y Dalias con su alcalde mayor nos han confiado el honroso y lisonjero encargo de felicitar á V. M. por su augusto enlace con la Serma. Sra. Infanta de Portugal Doña María Isabel. „Los pueblos que representamos han sobresalido siempre en el amor y lealtad á su Soberano, y en defensa de sus Reales derechos; prueba bien re levante es la que acaban de dar en la época de nuestra gloriosa revolución contra el tirano de la Europa; pues los…</t>
  </si>
  <si>
    <t>…és víctima de la muerte, del fue go y saqueo no interrumpido por espacio de tres dias, se presenta á L. R. P de V. M. á felicitarle por su augusto enlace con la Reina nuestra Sra. Doña María Isabel , de sublimes virtudes , que cimentadas desde la cuna en má ximas de sana moral y política forman la sólida base de la justa confianza de V. M. , y de aquel fidelísimo pueblo , que inalterable en los sentimientos de adhesión, respeto y obediencia á su Rey y S…</t>
  </si>
  <si>
    <t>…, su fidelidad é íntimo amor á V. M., á cuyos Reales pies lo demostrarnos como especialmente comisiona dos suyos para felicitarle por su augusto enlace con la Reina nuestra Señora Doña María Isabel , cuya feliz unión de dos monarquías tan católicas pue de causar mucho respeto á la impiedad.” S. M. se dignó manifestar con su bondad característica el aprecio con que admitía tales expresiones como pruebas del amor y sumisión de dicha ciudad.</t>
  </si>
  <si>
    <t>…ibertado del primer incendio. ESPAÑA. Madrid 28 de Abril. El dia 17 del corriente se presentaron á cumplimentar á S. M. por su fe liz enlace con la Serma. Sra. Infanta de Portugal Doña María Isabel , á nombre del cabildo de Urgel, el Dr. D. Bernardo Francés Caballero, obispo electo de aquella diócesis, y D. Manuel de Quevedo, dignidad de arcediano de Andorra, é inquisidor de Toledo; de los cuales el primero dijo: ,,Señor: El cabildo de Urgel, representa…</t>
  </si>
  <si>
    <t>…de damas nobles de María Luisa, y condecorar con sus insignias á las damas re sidentes en esta corte, que con motivo del venturoso y suspirado nacimiento de la Serma. Sra. Infanta Doña María Isabel tuvo á bien agraciar , se celebro el dia 20 del corriente á las 7 de la noche en la Real cámara de S. M. ca pítulo general de la misma orden. Formado el capítulo, y colocadas las da mas ya recibidas por el orden de antigüedad en sus respectivos asientos , sa…</t>
  </si>
  <si>
    <t>…11 de Junio. Habiéndose anunciado en los papeles públicos de la península el feliz enlace de nuestro amado Monarca el Sr. D. Ferrando vii con la Serma. Se ñora Infanta de Portugal Doña María Isabel, dispuso el Excmo.Sr. virey que esta fidelísima capital tributase á su nueva Soberana, en el dia de su cum pleaños los honores debidos á su augusta clase, y á las esperanzas que nos da de contribuir con sus esclarecidas virtudes á fijar el venturoso destino d…</t>
  </si>
  <si>
    <t>Isabel, Marta</t>
  </si>
  <si>
    <t>Marta Isabel</t>
  </si>
  <si>
    <t>…que por la paz de 1801 quedó bajo la soberanía de V. M. habiendo pertenecido antes al reino de Portugal, tiene la gloria de respetar en el trono español á la Reina nuestra Señora Doña Marta Isabel deBraganza, y divisa el colino de todas sus felicidades por tan dichosa unión; y si bajo el Gobierno de S. M. Fidelísima y en el de V. M. Católica ha dado pruebas indelebles de amor, fidelidad y respeto habiendo cumplido sus deberes en la época de la última g…</t>
  </si>
  <si>
    <t>Ismael-Gibraltar</t>
  </si>
  <si>
    <t>políticas de este gabinete respecto á la Puerta-Otomana, en cuyo gobierno la Suecia ha tenido bastante influjo desde el tiempo de Carlos xii. El capitán Ismael-Gibraltar, hombre sagaz, parece haber conocido que no se pueden sacar muchas ventajas del proyectado comercio, y que en lo relativo á la política , la Suecia no tiene la misma preponderancia é influjo que en los tiempos pasados; y asi se cree que en habiendo completado…</t>
  </si>
  <si>
    <t>Isumarri, Agustín</t>
  </si>
  <si>
    <t>Agustín Isumarri</t>
  </si>
  <si>
    <t>…on Juan Nepomuceno Montero, los tenientes D. Bernardo Vara y D. Antonio Rebollo, y el subteniente D: Tomas Brigidos, todos del regimiento de la Union , el subteniente de Barbastro D. Agustín Isumarri, el teniente de Na varra D. Antonio Villa, y el de la misma clase graduado del regimiento de Burgos D. Juan 'derla Cruz' Osores.</t>
  </si>
  <si>
    <t>Iturbe, León</t>
  </si>
  <si>
    <t>León Iturbe</t>
  </si>
  <si>
    <t>…l regimiento de Navarra D. Cosme Payés. Los heridos son el comandante de Burgos, eefe de estado mayor de la división expedicionaria, D. Agustín Otermin, el adicto á dicha división D. León Iturbe , el capitán graduado de teniente coronel Don Juan Nepomuceno Montero, los tenientes D. Bernardo Vara y D. Antonio Rebollo, y el subteniente D: Tomas Brigidos, todos del regimiento de la Union , el subteniente de Barbastro D. Agustín Isumarri, el teniente de…</t>
  </si>
  <si>
    <t>…se distinguieron todos á porfia por su intrepidez y constancia para superar tantas dificultades; pero señaladamente recomienda el general en gefe al capitán adicto al estado mayor D. León Iturbe, que con una herida abierta en el pecho estuvo mandando las primeras guerrillas, y fue atravesado de un balazo: el subteniente de Barbastro D. Agustín Insunsarri, que aun no tenia cerradas las que recibió en el asalto de Barcelona, y lo hirieron á lanzadas gr…</t>
  </si>
  <si>
    <t>Iturburu, Joaquín de</t>
  </si>
  <si>
    <t>Joaquín de Iturburu</t>
  </si>
  <si>
    <t>…cto hasta que merezca la aprobación de los señores de la Real cámara, de cuyo mandato se hace esta subasta. Nuevo método para las operaciones de cambios: obra original escrita por Don Joaquín de Iturburu, y dividida en dos tomos en 4.0 En el i.° trata el autor d* los cambios de España con las principales plazas extrangeras de comercio: explica, por las denominaciones particulares de las monedas nacionales sus valores respecti vos , y io que se entiende por us…</t>
  </si>
  <si>
    <t>Iuente, Josef Salome García</t>
  </si>
  <si>
    <t>Josef Salome García Iuente</t>
  </si>
  <si>
    <t>…avana; D. Manuel Yarto, comisario ordenador honorario; D Juan Vallejo, dignidad de la catedral de Tarazona, y director de aquel hospicio; marques de Casasola, vecino de Anrequera, D. Josef Salome García Iuente, canónigo de la catedral de Segovia, y director del Real hospicio de esta corte; D. Manuel Menoyo, tesorero de la provincia de Toledo; D. Luí* Peñalver, vecino de la Havana; D. Pedro oainz de Baranda, vocal de la junta de dirección de la Real casa de niños de…</t>
  </si>
  <si>
    <t>Ivosioff</t>
  </si>
  <si>
    <t>…lla mado á Petersburgo Mr. Daschkoíf, ministro ruso en los Estados- Unidos, por haber incurrido en desgracia con su Soberano , á consecuencia de haber intervenido en el asunto del cónsul Ivosioff, que fue arrestado conforme á las leyes del pais. ■Los oficiales ingleses de la guarnición de Cambrai se han obligado á dar gratuitamente 120 libras de pan todos los dias á los pobres de aquella ciudad. Escriben de Strasburgo con fecha de 7 de Mayo que el con…</t>
  </si>
  <si>
    <t>Iz, Juan Antonio Giménez</t>
  </si>
  <si>
    <t>Juan Antonio Giménez Iz</t>
  </si>
  <si>
    <t>…arle por su decidida adhesión á la jus ta causa de los Borbones. Habiéndose anunciado en la gaceta del jueves 27 de Febrero del corrien te año la venta del bálsamo maravilloso por D. Juan Antonio Giménez Iz quierdo, del que se hicieron algunas experiencias en la Real escuela Veteri naria; y habiendo llegado á entender D. Segismundo Malats que se dice ser el mismo que compone y usa el citado Malats; ha tenido por conveniente es te advertir al público que el refer…</t>
  </si>
  <si>
    <t>Iznardi</t>
  </si>
  <si>
    <t>…sistir á la reunión decretada en 1815 por ios Soberanos aliados, que se verificará en Francfort del Mein ó en Aquisgran. DINAMARCA. Copenhague 26de Agosto. El dia 22 llegó aquí el caballero Iznardi é Izquierdo, ministro de Espa ña cerca de nuestra corte* PRUSIA. Berlín 26 de Agosto. EL coronel Massenbach, autor de unas memorias muy célebres sobre la guerra de 1797 y la de 1806 , que fue preso en Francfort del Mein en la no-</t>
  </si>
  <si>
    <t>Iznardi, Josef de</t>
  </si>
  <si>
    <t>Josef de Iznardi</t>
  </si>
  <si>
    <t>…o, y con este motivo es de esperar se aumenten ios escasos conocimien tos que se tienen sobre este asunto. Idem 20. S. M. recibió ayer en audiencia particular las credenciales del caballero D. Josef de Iznardi é Izquierdo, ministro de España, y las del barón de Nicolav , ministro de Rusia. La fragata rusa que estaba en esta rada dio la vela el 17 para el Báltico. ALEMANIA. Nuremberg ij de Setiembre. Se asegura que la corte de Roma no quiere hacer ningún concordato…</t>
  </si>
  <si>
    <t>Izquierdo, Josef</t>
  </si>
  <si>
    <t>Josef Izquierdo</t>
  </si>
  <si>
    <t>…esperan zas que el Rey, su augusto Hermano, la Real junta y toda la nación ha fundado sobre ellos. Madrid 21 de Marzo. Don Domingo Izquierdo y Morales, ayuda de cámara de S. M., y Don Josef Izquierdo, guardia de la Real Persona de S. M., tuvieron el honor de felicitar á S. M. y A. en nombre de la villa de Marchena el dia 13 de Febre ro en los términos siguientes: ,,Señor: La villa de Marchena, que desde los primeros momentos de la época desgraciada corrió…</t>
  </si>
  <si>
    <t>Izquierdo, Josef Cayetano</t>
  </si>
  <si>
    <t>Josef Cayetano Izquierdo</t>
  </si>
  <si>
    <t>…ra de primera calidad, con una huerta, varios cercados, y casa de campo, con pajares, tinados y demas ofici nas necesarias, en término de la ciudad de Trujillo, por el juzgado del Sr. D. Josef Cayetano Izquierdo y oficio del escribano Juan Avalet, para con su valor hacer pago á dichos acreedores, los cuales 713 mrs. al millar están tasados en venta en la cantidad de 381312 rs. y 14 mrs., cuyo remate está señalado para el dia 8 de Se tiembre próximo, y hora de las 12…</t>
  </si>
  <si>
    <t>Izquierdo, Juan Antonio Giménez</t>
  </si>
  <si>
    <t>Juan Antonio Giménez Izquierdo</t>
  </si>
  <si>
    <t>…mitirá á ninguno, sea accionista 6 apoderado, que acuda después de dicho dia 9 de Abril, cuales quiera que sean las causas de la demora en su presentación. Bálsamo maravilloso por D. Juan Antonio Giménez Izquierdo, aproba do en la Real escuela Veterinaria*, se despacha con facultad Real para be neficio de la salud pública___ Este bálsamo ó especifico sirve para curar to do género de heridas, cerraduras , punturas y emvjaduras, aunque sean en las partes mas delicadas de…</t>
  </si>
  <si>
    <t>Izquierdo, Juan González</t>
  </si>
  <si>
    <t>Juan González Izquierdo</t>
  </si>
  <si>
    <t>…llando comprobado su donativo, se ha dignado admitírselo, y mandar entre otras cosas que se le den gracias por su generosidad, y que se publique en la gaceta para su satisfacción. D. Juan González Izquierdo, oficial segundo del cuerpo del ministerio de Marina de la dotación de Cartagena, ha hecho en favor del Real erario la cesión de 25723 rs., como importe de sus sueldos vencidos hasta fin de Mar zo último; y S. M. se ha servido admitirla, y quiere que se publi…</t>
  </si>
  <si>
    <t>Izquierdo, Pedro</t>
  </si>
  <si>
    <t>Pedro Izquierdo</t>
  </si>
  <si>
    <t>…ibio López, jubilado en sagrada teología, que presentó á examen sucesivamente á los discípulos colegial beca D. Sebastian Juárez, D. Jacinto de Bartolomé, natural de este sitio; á Don Pedro Izquierdo, D. Eugenio Maroto, D. Miguel Moral y D. Tomas de la Fuente, quienes respondieron con desembarazo á las preguntas que les hizo so bre el sistema de la numeración, naturaleza del número, reglas fundamen tales de la aritmética y álgebra, de todo género de númer…</t>
  </si>
  <si>
    <t>Ja</t>
  </si>
  <si>
    <t>…y bien general de la provincia de Cuenca. ARTICULO DE OFICIO. El ayuntamiento de la ciudad de Santander, capital de la provincia ma rítima de su nombre, ha dirigido al Rey nuestro Señor Ja siguiente repre sentación , que S. M. ha recibido con su natural benevolencia*</t>
  </si>
  <si>
    <t>Jabat, Juan</t>
  </si>
  <si>
    <t>Juan Jabat</t>
  </si>
  <si>
    <t>…l ayuntamiento de Villalon en premio de su desvelo. Madrid 12 de Febrero. El enviado extraordinario y ministro plenipotenciario del Rey nuestro Se ñor cerca de la sublime Puerta , D. Juan Jabat, hizo el 5 de Diciembre último su presentación pública en aquella corte, acompañado de una numerosa y lu cida comitiva, que contribuyo a realzar la pompa y magnificencia de tan so lemne acto. Previas las formalidades de etiqueta, y el ostentoso ceremonial que…</t>
  </si>
  <si>
    <t>…el Gran Señor se halla en paz. Idem 25 de Enero. El dragomán del capitán Bajá ha pasado á pagar, en nombre de este, la visita que le hicieron el ministro plenipotenciario de S. M. D. Juan Jabat; el embajador de Francia marques de Riviére, y el internuncio de Austria ba rón de Sturmer , quienes hicieron al referido dragomán el regalo de costumbre. ITALIA. Ñapóles 2/ de Febrero. En un periódico de esta capital se dice lo siguiente: „En Udina mordió un…</t>
  </si>
  <si>
    <t>Jaime</t>
  </si>
  <si>
    <t>…la villa de Estadilla no conoció otros deberes que los del honor. Fiel á las distinciones que mereció por su fidelidad á los au gustos predecesores de V. M., y particularmente al Sr. D. Jaime el Conquis tador , que la declaró ilustre y privilegiada por la toma de Monzon, y mar có esta época tan feliz, concediéndole por armas una estrella luminosa por haberle acompañado de noche en esta expedición, ha resistido ahora la fa:al coyunda del tirano, y…</t>
  </si>
  <si>
    <t>Jalón, Josef Jalotl y</t>
  </si>
  <si>
    <t>Josef Jalotl y Jalón</t>
  </si>
  <si>
    <t>…Oraoño Rosales. Idem 3.0 D. Francisco Zapata Bueno. Capellán D. Josef Sendia Calderón. Para el del Arzobispo en Salamanca. Rector D. R amon de Planella y Fivaller. Consiliario i.° D. Josef Jalotl y Jalón. Idem 2.0 D. Rafael Bermudez. Idem 3.0 D. Francisco Ribera y Maestre» Capellán D. Lorenzo Escolar.</t>
  </si>
  <si>
    <t>Jalón, Josef María</t>
  </si>
  <si>
    <t>Josef María Jalón</t>
  </si>
  <si>
    <t>…ente con poder bastante, concurran á ella*, con prevención que de no verificar lo les parará el perjuicio que haya lugar. Se llama, cita y emplaza á los acreedores á los bienes de D. Josef María Jalón, marques difunto de Gastrofuerte y vizconde de Castel-Falc, brigadier de los Rea les egércitos, para que en el término de 15 dias perentorios, contados desde 21 del corriente, concurran por sí ó por medio de procurador con poder bastante al co mandante de arm…</t>
  </si>
  <si>
    <t>…D. Toribio Montes y D. Juan Henestrosa; al mariscal de campo D. Fer nando Miyares, y al ministro del Consejo supremo de Indias D. Josef Aicinena, Comendadores Al mariscal de campo D. Josef María Jalón; á los brigadieres marques de Sta. Cruz de Rivadulla; D. Pedro de la Cuesta; D. Ciríaco de Llano; D. Juan Josef Olazabal; á D. Juan Hernández de Alba, oidor de la au diencia de Puerto-Príncipe; D. Martin Gil y Garcés, deán de la catedral de Valladolid de Mech…</t>
  </si>
  <si>
    <t>Jalón, Miguel María</t>
  </si>
  <si>
    <t>Miguel María Jalón</t>
  </si>
  <si>
    <t>440 El Rey nuestro Señor se ha servido declarar pot Real orden de 17 del que rige, á consulta del Consejo supremo de la Guerra, que el proceso for mado en el sexto egército á D. Miguel María Jalón, marques de Castrofuerte, no debe perjudicar su buena reputación y fama, ni el mérito contraído por sus servicios, mediante al buen resultado de las cuentas presentadas y aprobadas por las oficinas del egército de Galicia sobre los caudales y efectos que tuvo…</t>
  </si>
  <si>
    <t>James</t>
  </si>
  <si>
    <t>…do cierto que Mr. Horneman viajaba en aquella dirección, y que en la misma época se dejó de recibir corresponden cia suya, no puede dudarse de su muerte. Se sabe por una carta del capitán James, del bergantín el Héroe, de Zante, que venia de Handgate-Creek, que el 8 del mes pasado había encon trado una escuadra de cruceros argelinos, compuesta de tres bergantines y una goleta, á unas 12 leguas al £. de Gibraltar. La goleta fue á abordarle con bander…</t>
  </si>
  <si>
    <t>Jara, Mateo</t>
  </si>
  <si>
    <t>Mateo Jara</t>
  </si>
  <si>
    <t>…n Rodríguez y Salas, canónigo de la de Málaga; y á D. Manuel Fernandez Varela, deán de la de Lugo. Honores de conjueces del tribunal apostólico y Real de la gracia del Ex cusado á D. Mateo Jara , canónigo tesorero de la santa iglesia catedral de Co ria : á D. Francisco Amar, canónigo de la metropolitana de Zaragoza: á Don Francisco Castilla, deán de la catedral de Badajoz: á D. Juan Antonio Prada, canónigo tesorero de la metrepolitana de Sevilla; y…</t>
  </si>
  <si>
    <t>Jareño, Josef</t>
  </si>
  <si>
    <t>Josef Jareño</t>
  </si>
  <si>
    <t>…r sus pasos con su innata beneficencia y ge nerosidad , conceder, á petición de la asamblea , el grado de subteniente al sar gento primero del regimiento de infantería de Valan^ey D. Josef Jareño, y de sargento primero al coracero del de la Reina D. Felipe Arce, únicos indi viduos que asistieron condecorados con la cruz de plata de dicha orden. El dia 3 á la misma hora se reunió también el capítulo en la citada Real iglesia para celebrar solemnes exeq…</t>
  </si>
  <si>
    <t>Jáu, Ignacio de</t>
  </si>
  <si>
    <t>Ignacio de Jáu</t>
  </si>
  <si>
    <t>…este presente año se dará principio á las lec ciones de Clínica en el Real estudio establecido á este fin por S. M. en esta corte, bajo la dirección de su primer médico de cámara D. Ignacio de Jáu* regui___ Leerá aquel dia á las 10 de la mañana una oración inaugural el ca tedrático del establecimiento D. Antonio Hernández Morejon , médico de cunara de número, examinador de medicina &amp;c.__ Es te" mismo profesor explicará durante el curso las enfermedades…</t>
  </si>
  <si>
    <t>Jaudenes, Tadeo</t>
  </si>
  <si>
    <t>Tadeo Jaudenes</t>
  </si>
  <si>
    <t>…cortina de S M. ; D. Manuel Zoilo, dignidad de la cate dral de Astorga, D. Fernando Medina, administrador de Rentas de Llerena; D. Santiago Jonatna, cónsul de S. M. en Amsterdam; D. Tadeo Jaudenes, decano del tribunal de cuentas de la Havana; D. Manuel Yarto, comisario ordenador honorario; D Juan Vallejo, dignidad de la catedral de Tarazona, y director de aquel hospicio; marques de Casasola, vecino de Anrequera, D. Josef Salome García Iuente, canónigo…</t>
  </si>
  <si>
    <t>Jáuregui, Andrés</t>
  </si>
  <si>
    <t>Andrés Jáuregui</t>
  </si>
  <si>
    <t>…on la corta fuerza de 65 hombres de infantería y caballería de mi mando, y 25 carabineros que me vinieron de auxilio,con solo el tér mino de 8 dias, por el comandante de Tantoyuca capitán D. Andrés Jáuregui, y 2310 cartuchos de bala de fusil. „ A las seis de la tarde del propio dia llegué al rancho de los Abavales, y dándole solo tres horas de descanso á la tropa, proseguí mi marcha en medio de la lluvia y oscuridad de la noche, caminando todo el dia del 15 y no…</t>
  </si>
  <si>
    <t>Jáuregui, Ignacio</t>
  </si>
  <si>
    <t>Ignacio Jáuregui</t>
  </si>
  <si>
    <t>…por medio del protector de la novedad y utilidad de este trabajo, para distinguir y premiar el mérito de los profesores aplicados.” En virtud de esta Real resolución el presidente D. Ignacio Jáuregui no solo ofreció llevar á debido cumpli miento cuanto viene prevenido , sino que animado del generoso y conocido zelo por el honor de la medicina y utilidad pública , propuso en la junta ge neral celebrada el diori 6 de Diciembre del próximo pasado el premio d…</t>
  </si>
  <si>
    <t>…ujano de la Real Familia y de los hospitales D. Josef Blazquez, cooperando en lo posible á las grandes miras del Soberano , propuestas por el infatigable zelo de su digno director Don Ignacio Jáuregui, y los catedráticos D. Hilario Torres y D. Antonio Her nández , en educar á los alumnos de dicho Real establecimiento en la anato mía histórica y patológica, para lo cual tenia disecado en un cadáver el sis tema nervioso de ambas vidas animal y orgánica, é in…</t>
  </si>
  <si>
    <t>Jáuregui, Ignacio de</t>
  </si>
  <si>
    <t>Ignacio de Jáuregui</t>
  </si>
  <si>
    <t>…correspondencia con los médicos nombrados por S. M. directores de los establecimientos que se citan en la gaceta dei 15 de Mayo próximo pasado , encargándose el señor vocal decano D. Ignacio de Jáuregui de las aguas y baños de Sacedon, Trillo, el Molar y Puerto-Lla no en Castilla la Nueva; el segundo, individuo de la Real junta D. Vicente Martínez, de las de Navarra, Asturias, Valencia y Murcia; el tercero, Don Félix González, de las de Cataluña y Extremadur…</t>
  </si>
  <si>
    <t>Jáuregui, Juan de</t>
  </si>
  <si>
    <t>Juan de Jáuregui</t>
  </si>
  <si>
    <t>…edición á 6 rs. — Elogio del Excelentí simo Sr. marques de Santa Cruz, escrito por D. Nicasio Alvarez de Cienfuegos , á real y medió en papel.__El Acninta del Taso, traducida por D. Juan de Jáuregui, edición estereotípica, á 4 rs. en papel—La jornada de Carlos v á Túnez, escrita por Gonzalo de Illescas, edición estereotípica, á 2 rs. en papel.-^.Catecismo de la doc trina cristiana del P. Astete, de edición estereotípica, á 4 cuartos, y con las adi ciones…</t>
  </si>
  <si>
    <t>…omo en 8.° á 8 rea les en papel y 11 en pasta.__Suplementos á la primera edición del diccionario i real y medio, y á la segunda edición á 6 rs. — El Aminta del Taso, traducido por D. Juan de Jáuregui: edición estereotípica á 4 rs. en papel. —La jornada de Cárlos v á Túnez, escrita por Gonzalo de Illescas: edición estereotípica á 2 rs. en pa pel.—Catecismo de la doctrina cristiana del P. Astete: edición estereotípica á 4 cuartos, y con las adiciones á 5 cu…</t>
  </si>
  <si>
    <t>JD</t>
  </si>
  <si>
    <t>…ueva-España, ACCION BRILLANTE EN LAS INMEDIACIONES DE JONACATLAN , Y PORMENORES DE LA OCUPACION DE LOS PUNTOS FORTIFICADOS DEL CERRO DEL CHIQUIHUITE Y FUERTE DE ATOYAC. Oficio del brigadier JD. Ciríaco de Llano, „Excmo. Sr.: Remito á V. E. original para su superior conocimiento el parte que me ha dirigido con fecha 2 del corriente número 516 el tenien te coronel D. Saturnino Samaniego, relativo á las acciones sostenidas por las tropas de su cargo á…</t>
  </si>
  <si>
    <t>…las Alvarez y Camacho. „ Dios guarde á V. E. muchos años. Queretaro Marzo 12 de 1817.=: Exc mo. Sr. = Ignacio García Rebollo.— Excmo. Sr. virey D. Juan Ruiz de Apedaca.” Parte del teniente JD. Julián Jabera. ,, Al amanecer del dia de hoy salieron los cabecillas Alvarez y Cama cho con mías de 90 rebeldes , con el depravado intento de hostilizar el ve cindario de la hacienda de Espejo, hasta el extremo de dejar las familias ente ramente desnudas. Pe…</t>
  </si>
  <si>
    <t>Je</t>
  </si>
  <si>
    <t>…r el venerable D. Juan de Palafox; un tomo en 8.° á 10 rs. en pasta.mTriduo sacro, ó colección de poe sías, en que se expresan los misterios de la pasión y resurrección de nuestro Señor Je sucristo, adornado con estampas finas: un tomo en 8.° á ro rs. en pasta. Se halla rán en la librería de Brun, frente á las gradas de S. Felipe, y de Rodríguez, calle de las Carretas. Tratado analítico de las enfermedades crónicas, ó docrina general acerca de…</t>
  </si>
  <si>
    <t>Je, María</t>
  </si>
  <si>
    <t>María Je</t>
  </si>
  <si>
    <t>…arto segundo. Se desea saber el paradero de P. Tomas Lorenzo Pedrosa, de sus hijos ó here* deros, que vivia en Madrid, calle de Sta. Isabel, núm. 11 , cuarto principal, mari do de Doña María Je^us Yesar, muger que fue en primeras nupcias de D. Francisco García Biaños.zz Igual mente se desea saber de los herederos de D. Pedro Auge, de egercicio batero de señoras, que vivia en la Red de S. Luis. Ambos sugetos tienen derecho á la percepción de ciertos…</t>
  </si>
  <si>
    <t>Jesucristo</t>
  </si>
  <si>
    <t>…idura ó de cruzarse de caballeros, sin cuyo requisito indispensable no pueden los agraciados usar de las insignias de la orden. Juicio de un pecador, y pasión y muerte que nuestro Señor Jesucristo pasó por él, en verso, y muy á propósito para sacar consideraciones de arrepentimiento de las culpas. Se vende á 2 rs. en la librería de Ranz, calle de la Cruz , y en la de Sanz, calle de las Carretas. Puede ir en carta. En la librería de Ramirez, calle de la…</t>
  </si>
  <si>
    <t>Jesús, María de</t>
  </si>
  <si>
    <t>María de Jesús</t>
  </si>
  <si>
    <t>…, natural de la ciudad de S. Felipe y Santiago del Bejucar,por sí y en nombre de sus hijos legítimos D. Josef, D. Lorenzo, D. Antonio, Doña María de la Concepción, Doña Gertrudis, Doña María de Jesús, D. Francisco,D. Juan, D. Manuel y Dou Ramón López Perez, naturales de la Havana; y habiendo fallecido el referido su padre D. Antonio López Gómez en el mismo año de 1802 , al tiempo de estar para recoger dicho documento, habiendo dejado pagado parte de sus g…</t>
  </si>
  <si>
    <t>Jo</t>
  </si>
  <si>
    <t>…uel reino é inmediatos que tuvieron el honor de cumplimentarle, fue una de la Rea! audiencia de Granada compues ta de su presidente el Exorno. Sr conde de Montijo y de los oidores D. Jo sef López de Gozar y D. Tosef María Manescau , y del alcalde del crimen D. Ma nuel Josef de Vilches; de los cuales el primero en un breve y enérgi co discurso en portugués tuvo la honra de felicitar á S. M. y A. por su feliz arribo á la península, y sus faust…</t>
  </si>
  <si>
    <t>…amanca, sala núm. 8, cama núm. 16; y no habiendo sabido después de su existencia ó fallecimiento, se suplica al que. pueda dar alguna razón de él se sirva avisarlo en esta corte á D. Jo sef María Soriano, calle del Mesón de Paredes, núm. 3, cuarto principal. Tratado metódico para la educación física é intelectual de los niños, y medios de evitar los accidentes que les exponen á morir en la infancia: por D. Antonio Ar teta, dignidad de la san…</t>
  </si>
  <si>
    <t>…. Delagardette, arqui tecto discípulo de la Real academia de París: dibujado en mayor tamaño, y grabado al agua fuerte por D. Fausto Martínez de la Torre , y concluido 4 buril por D. Jo sef Asensio, discípulos de la Real academia de S. Fernando. Acompáñales un. trata do de sombras, con lo cual puede cualquiera imponerse en sombrear cualquier cuer po de arquitectura sin necesidad de maestro: se le ha agregado últimamente una es tampa en plieg…</t>
  </si>
  <si>
    <t>…que va dando V. M. tantos testimonios. Asi lo desea y pide el con sulado para bien de la monarquía y gloria de V. M.” El Rey nuestro Señor se ha servido conceder su Real permiso á D. Jo sef Antonio Rancaño, abad de S. Vicente de Pinol, en el obispado de Lugo, para que pueda usar la cruz de caballero de la Espuela dorada y de conde Palatino con que le ha condecorado S. S. El dia i.° de Noviembre próximo saldrá de Cádiz el bergantin Vengador,…</t>
  </si>
  <si>
    <t>Jo, Juan</t>
  </si>
  <si>
    <t>Juan Jo</t>
  </si>
  <si>
    <t>…de que les hizo merced S. M. Cristianísima en recompensa de su fidelidad y buena comportacion , á D. Josef Mariano de Olañeta, doctor en ambas facultades tn la ciudad del Cuzco; á D. Juan Jo sef de Olañeta , capitán del regimiento infantería de Abaacai, y á D. Josef Antonio de Gandarias, regidor del ay untamiento de la ciudad de la Plata, en el vireinaro del Perú. Al tiempo de haberse dignadoS. M. admitir á los oficiales primero y quin to del cue…</t>
  </si>
  <si>
    <t>Jo, Santos</t>
  </si>
  <si>
    <t>Santos Jo</t>
  </si>
  <si>
    <t>…mpensa, y amortizando en cada extracción (suba ó baje el cambio) 6256 vales, hasta ponerlos á la par y extinguir los, con mayores ventajas de la empresa y del Crédito público: por D. Santos Jo sef Macho de Quevedo; un cuaderno en 8.a mayor á 4 rs. Se vende en las librerías de Sojo, calle de las Carretas, frente al correo, y en la de Brun, frente á las gra das de S. Felipe: puede ir en carta. Reflexiones sobre las calenturas remitentes é Intermitent…</t>
  </si>
  <si>
    <t>Joa</t>
  </si>
  <si>
    <t>…uela en el departamento de Artillería de la Coruña al mariscal de campo D. Joaquín de Ibarra, coro nel de dicha arma. Ed Rey nuestro Señor se ha servido conceder su Real permiso á D. Joa quín Manuel del Hierro, administrador general de Rentas Reales del reino de Valencia, para que pueda usar del distintivo de la flor de Lis con que le ha condecorado S. M. Cristianísima por su adhesión á la augusta casa de los Borbones. El Rey nuestro Señor Ea…</t>
  </si>
  <si>
    <t>…co Canillas, D. Pedro Miguel, D. Genaro Sal gado, D. Cándido de la Fuente , D. Josef García Vázquez , D. Aquilino Lu nar, D. Pedro Gómez, D. Celedonio Casado, D. Vicente Berdion , Don Joa quín Lumeras, D. Tomas Asensio, D. Mateo Rodriguez, D. Valentín Ga veta, D. Pedro Martin, D. Antonio Fernandez, D. Andrés Redondo, Don Federico Movilla, D. Bernardo Huelga, D. Esteban Blanco, D. Miguel Alonrso, D. Cesáreo Viguera, D. Miguel Chana, D. Antonio…</t>
  </si>
  <si>
    <t>Joaquín</t>
  </si>
  <si>
    <t>…V. E. muchos años. Campamento en Malamala y Marzo 26 de 18i6.=Excmo. Sr.=Buenaventura Centeno. = Excmo. Sr. teniente general de los Reales egércitos y general en gefe del del Perú D. Joaquín de la Pezueia. = Es copia. = Centeno." ,, Excmo. Sr.: Concluí con esta continua revolución del modo mas es pantoso y terrible, que ha infundido en los rebeldes terror y respeto á las in vencibles armas del Soberano. Dispersos , y puestos en precipitada fuga e…</t>
  </si>
  <si>
    <t>…. Campamento en Culpina y Abril 3 de 1816.= Excmo- Sr. = Buena— ventura Centeno. = Excmc. Sr. teniente general de los Reales egércitos, y ge~ neral en gefe del de campaña del Perú D. Joaquín de la Pezuela.’ Campamento en Cu!pin a j de Abril de 18x6. „Excmo. Sr-: Mi ge neral y venerado Señor: Juxgo dar á V. E. la mas plausible noticia que contiene el adjunto parte , reducido al detall de la increíble sorpresa y destrucción de Camargo y7 su egercit…</t>
  </si>
  <si>
    <t>…a orden. Dios guarde á V. muchos años. Madrid 7 de Marzo de 1817. El Rey nuestro Señor se ha servido conceder los empleos siguientes: En América. El vireinato del Perú al teniente general D. Joaquín de la Pezuela, que lo servia interinamente: la capitanía general de la provincia de Goatemala al teniente general D. Carlos Uiruria, que servia la de la isla de Sto. Domingo: la de las Islas Filipinas al mariscal de campo D, Ambrosio de la Cuadra; y el gobier…</t>
  </si>
  <si>
    <t>Joaquin</t>
  </si>
  <si>
    <t>…regimiento de infantería de España: la de la puebla de Sanabrfa, en Castilla la Vieja , á D. Josef Vaguer, teniente agregado al estado mayor de la plaza, de Madrid: la de Ibiza al capitán D. Joaquin 'Martínez y Fernandez,, temente del regimiento infantería de Ceuta: la de Cardona, en Cataluña, al tenien te coronel D. Francisco Requesens, capitán agregado al batallón de infante ría ligera de la Albuhera: la primera ayudantía de la plaza de Mahon, en Mallo…</t>
  </si>
  <si>
    <t>…ad de que hayan de deducirse de ellos todas las cargas que sobre sí tenga. Qllien quisiere m~jorarla acuda ante dicho señor juez y escribanía del número de D. Cristóbal de Vicuña. D. Joaquín .c\lmazan, teniente corregidor de esta vilIa de Madrid, en virtud de despacho requisitorio que me l1a cometido el S. D. Luis Mañes, del Consejo de S. 1\1., alcalde del crÍmen de la Real audiencia de Valencia. juez interventor regio de los estados, bienes y re…</t>
  </si>
  <si>
    <t>…i8i7.=Ignacio García Rebollo.0 ARTICULO DE -OFICIO. Con fecha de 6 de Junio último dirigió el ayuntamiento de la ciudad de la Plata, en el vireinato del Perú, al Excmo. Sr. virey D. Joaquín de la Pezuela la relación siguiente: - „Entre los mas gloriosos acontecimientos del egército del Rey, que con tanto honor de sus armas han humillado y escarmentado á los rebeldes en estas provincias, debe sin duda contarse la feliz y casi maravillosa ¡ornada…</t>
  </si>
  <si>
    <t>…de Gandarias. = Joaquín de Nestares.= Juan Antonio Segovia. = Joaquín Alvarez. = Juan Pablo Arana. ■= Josef Manuel Careaga. = Miguel de Tezanos Pinto. = Excmo. Sr. virey del Perú. D. Joaquín de laPezueia.” El Rey se ha servida nombrar para la canongía doctoral de la metropo litana de México, vacante por promoción del Dr. D. Pedro Josef de Fonte á la mitra de dicha santa iglesia &gt; al Dr. D. Josef Félix Flores Alatorre ; y para la magistral de la c…</t>
  </si>
  <si>
    <t>Jomini</t>
  </si>
  <si>
    <t>…ia por mar; entre los cuales se cuentan el conde de Maistre, embajador del Rey de Cerdeña en Rusia, el general Feush, la condesa de Razoumowski, la muger y la familia del gene ral barón Jomini, Mr. Bourgeos, cónsul francés en Petersburgo &amp;c. Parts 4 de Julio. Un periódico de esta capital dice que han sido arrestados los generales Domage y Belair, y también la marquesa de Lavalette. Todos los campos ofrecen una abundante cosecha, y en especial los d…</t>
  </si>
  <si>
    <t>Jommi</t>
  </si>
  <si>
    <t>…. RUSIA. Petersburgo 13 de Mayo. De algunos días á esta parte han llegado muchos buques mercantes á Cronstadt; sin embargo el golfo de Finlandia está todavía cubierto de hielo. El general Jommi está escribiendo una historia de las dos ultimas cam pañas, para cuya obra le ha suministrado materiales muy importantes el feld- mariscal Barclay de Tolly. El mismo general saldrá pronto de Rusia, cuyo clima no le agrada, y pasará á Suiza con una licencia Qc…</t>
  </si>
  <si>
    <t>Jonatna, Santiago</t>
  </si>
  <si>
    <t>Santiago Jonatna</t>
  </si>
  <si>
    <t>…del Guadalquivir; D. Manuel Zuaznabar, sumiller de cortina de S M. ; D. Manuel Zoilo, dignidad de la cate dral de Astorga, D. Fernando Medina, administrador de Rentas de Llerena; D. Santiago Jonatna, cónsul de S. M. en Amsterdam; D. Tadeo Jaudenes, decano del tribunal de cuentas de la Havana; D. Manuel Yarto, comisario ordenador honorario; D Juan Vallejo, dignidad de la catedral de Tarazona, y director de aquel hospicio; marques de Casasola, vecino de An…</t>
  </si>
  <si>
    <t>Jones, Jacobo</t>
  </si>
  <si>
    <t>Jacobo Jones</t>
  </si>
  <si>
    <t>…D. Juan Calvete y D. Félix Angosto, los cuales han manifes tado conocimientos, valor y atrevimiento en la toma de los fuertes. Igual mente hace mención honorífica de los tenientes D. Jacobo Jones y D. Josef Caparros, ayudantes del brigadier Canterac, los cuales comunicaron las ór denes en medio de los mayores peligros. EGERCITO EXPEDICIONARIO. Estado de los muertos y heridos que tuvo este egército desde su desembar~ co en la isla Margarita hasta la toma de Pampatar. Heri…</t>
  </si>
  <si>
    <t>Jor</t>
  </si>
  <si>
    <t>…teniente corone! D. Miguel González Saravia, sargento mayor veterano del provincial del mismo reino. En España. El gobierno del castillo de Monterey , en el reino de Gali cia, al capitán D. Jor^el Martínez Valladolid , teniente retirado en Andalucía; el de S. Dieí^o, dependiente de la plaza de la Coruna , al teniente coronel D I mis Postillón, capitán retirado en esta plaza; y la sargentía mayor de Badajoz al teniente coronel de infantería D. Onofre…</t>
  </si>
  <si>
    <t>Jordain</t>
  </si>
  <si>
    <t>el buque Amazona} procedente de Amsterdam, con mas de 400 pasageros, can todos jóvenes. En este número se hallaba el general Jordain, que había sido en otro tiempo ayudante de campo de un personage lamoso en Francia. Se asegura que los Estados-Unidos tienen pendientes negociaciones para comprar la isla de Elba, á fin de formar un establecimiento en el Mediterrá neo. Los principales periodi…</t>
  </si>
  <si>
    <t>Jordán, Antonio Bergosa y</t>
  </si>
  <si>
    <t>Antonio Bergosa y Jordán</t>
  </si>
  <si>
    <t>…l re cibo se servirá darnos, aviso. ^ Dios guarde á V. muchos años. Madrid 4 de Marzo de 1817. S. M. en atención á los méritos y servicios del R. obispo de Antequera de Oajaca Dr. D. Antonio Bergosa y Jordán se ha servido concederle la gran crusp de la Real orden americana de Isabel la Católica. EJ R^y nuesfíQ %por en atención á los distinguidos méritos que ha con</t>
  </si>
  <si>
    <t>…l. Lo comunico á V. de Real orden para su noticia y cumpli miento. Madrid 15 de Agosto de 1817. Queriendo S. M. premiar el distinguido mérito literario del R. obispo de Oajaca Dr. D. Antonio Bergosa y Jordán, y sus importantes servicios en el desempeño de su delicado cargo pastoral de la referida mitra, se ha ser vido presentarle para el arzobispado de Tarragona, vacante por traslación de D. Romualdo Mon y Velarde al de Sevilla. Por el Ministerio de Hacienda , á…</t>
  </si>
  <si>
    <t>Jordán, Francisco</t>
  </si>
  <si>
    <t>Francisco Jordán</t>
  </si>
  <si>
    <t>…omo se venera en el convento de trinitarios descalzos de esta corte, dibuja do por D. Vicente López, primer pintor de cámara de S. M., y grabado en medio pliego de marca mayor por D. Francisco Jordán, á 10 rs. cada estampa con permi so de la Real academia de S. Fernando. EN LA IMPRENTA REAL.</t>
  </si>
  <si>
    <t>Jordán, Juan</t>
  </si>
  <si>
    <t>Juan Jordán</t>
  </si>
  <si>
    <t>…sobre el cultivo de una nueva casta de patatas y del alpiste; modo de depurar los aceites de colza rabi za y rabaniza, y nuevo método de destilar el vino en el aparato portátil de Don Juan Jordán. Se vende con los anteriores en la librería de Martínez, frente á San Felipe el Real; en Barcelona en la de Brusi, y en las ciudades en las librerías di chas en las publicaciones anteriores. EN LA IMPRENTA REAL,</t>
  </si>
  <si>
    <t>Jordán, Portalis y Camilo</t>
  </si>
  <si>
    <t>Portalis y Camilo Jordán</t>
  </si>
  <si>
    <t>…presencia del augusto viagero. Anteayer se reunieron por segunda vez los secretarios de Estado, el car denal de la Luzenne, el canciller, el conde de Beugnot, el conde Ferrand, el conde Portalis y Camilo Jordán, consejeros de Estado, en casa del conde de Richelieu. Aun no se sabe á punto fijo el motivo de estas juntas. El Príncipe de Talleirand lleg ó el 27 del pasado á Tolosa de las aguas de Bañeras con la condesa de Perigord y la Princesa de Eskirwitz, hermana del…</t>
  </si>
  <si>
    <t>Jorge</t>
  </si>
  <si>
    <t>…ue tiene todos los instrumentos necesarios para desempeñar su comisión. Qibr altar 22 de Julio. Se ha publicado en esta plaza un bando en ingles, italiano y español, que dice asi: D. Jorge Don, general de los Reales egércitos de S. M. Británica, caba llero gran cruz de la orden de los Güelfos y del mérito militar de Francia, coronel del regimiento de infantería núm. 95.0, teniente gobernador, y co mandante en gefe de la plaza de Gibraltar. Por cuan…</t>
  </si>
  <si>
    <t>…uy extenso, pues trata de formar un establecimiento para mantener 1200 personas entre hombres, mugeres y niños. Gibraltar de Agosto. Iloy se ha publicado aqui el bando siguiente : D. Jorge Don, general de los Reales egércitos de S. M. Británica, caba llero gran cruz de la orden de los Güelfos &amp;c., teniente gobernador, y co mandante en gefe de la plaza y guarnición de Gibraltar. Por cuanto conviene, para mantener la policía de la bahía, que los bote…</t>
  </si>
  <si>
    <t>Josef</t>
  </si>
  <si>
    <t>…y 200685 Sr. tesorero general: 202814 D. Manuel Angel Indo: 202863 Domingo Pár ramo: 202951 D. Joaquín Casale: 203417 Domingo Párramo: 203537 y 204419 D. Manuel Angel Indo: 204975 D. Josef de las Barcenas: 207326 D. Manuel Angel Indo: 212981 y 216550 Sr. tesorero general-----Y por auto de 15 del corriente se ha comunicado traslado de dicha demanda á los tenedores que se expresan, y que para hacérselo saber se anuncie en este pe riódico , para q…</t>
  </si>
  <si>
    <t>…; la plaza que queda vacante por esta razón á D. Antonio Valenzuela, que ocupaba la de Ceuta, y para llenar la que tam bién resulta vacante en el reino de Aragón por jubilación de D. Josef de la Cantolla se ha servido S. M. nombrar á D. Vicente dei Campo, auditor que fue del egército del centro. Por providencia del Sr. D. Joaquín Almazan, del Consejo de S. M., teniente corregidor de esta villa, su fecha 15 del corriente, y escribanía del número…</t>
  </si>
  <si>
    <t>…n muerto en la mayor miseria, y otros se han creído muy felices en poder regresar á su país.” ESPAÑA. México 14 de Diciembre„ Con fecha de 25 de Noviembre anterior avisa el Excmo. Sr. D. Josef de la Cruz, comandante general de la Nueva-Galicia, haberse apoderado en el mismo dia de las islas grande y chica de Mexcala, en la laguna de Chapala, con 17 piezas de artillería y todo cuanto tenían allí los rebeldes. El teniente coronel D. Saturnino Samanie…</t>
  </si>
  <si>
    <t>…ue egerce D. Francisco de Paula Cáceres; y en providencia de 26 de Marzo próximo se ha mandado citar y emplazar, como desde luego se hace, á D. Pedro Fernandez Cuenca, hermano del D. Josef, por hallarse ausente sin saberse su paradero, ó á los herederos del mismo D. Pedro, para que en el término de un año se presenten á percibir el haber que les ha correspondido como herederos legítimos abintestato del D. Josef; con apercibimiento que pasado si…</t>
  </si>
  <si>
    <t>…permiso al público en una canción, y los dos segundos siguieron con otros versos alusivos al mismo efecto. D. Matías García , D. Manuel Gil, D. ¿Antonio Cubero, D. Vicente Grima, D. Josef La justicia, D. Francisco Gil y D. Ramón Bosquet trata ron extensamente de todos los rudimentos, en lo cual, aunque acreditaron to dos su aplicación y adelantamiento, sin embargo sobresalió entre todos Don Josef Lajusticia. En la sintaxis D. Antonio Bueno, D. Fe…</t>
  </si>
  <si>
    <t>6o f Excmo. Sr. = Hermenegildo Revuelta. = Excmov Sr. mariscal de campo y comandante general D. Josef de la Cruz.” 2.0 ,, Excmo. Sr.: Cumpliendo con las órdenes de V. E. vine á este pun to el 19 del pasado Noviembre, y en el mismo dia lo hizo igualmente el capitán comandante de la división de Zacatecas D. Manuel Campos y 80 hombres de caballería de Lagos. A l…</t>
  </si>
  <si>
    <t>…stan , para dar á V. E. parte de todo. „Dios guarde á V. E. muchos años. Zapotlan 1 2 de Diciembre de 1816 alas to del dia. = Excmo. Sr. = Domingo Claverino. = Excmo. Sr. general' D. Josef de la Cruz.” Madrid jj de Junio. En el sorteo de la Real lotería moderna celebrado el dia 12 del corriente salieron sorteados con los premios mayores ios números siguientes : Números. Premios. Administraciones. 10000 pesos En Cádiz. 3°4i7 10057. 5000 idem.. E…</t>
  </si>
  <si>
    <t>ESPAÑA. México jj de Diciembre. Concluyen los partes insertos en la gaceta extraordinaria de dicha capital. En oficio de 7 del corriente avisa el mismo comandante general D. Josef de la Cruz que se habían presentado á indulto D. Josef Vargas y D. Joaquín Salgado, que tenían entre los rebeldes los títulos de mariscal de campo y brigadier, en unión de otros muchos de los que servían bajo sus órdenes con el nombre de oficiales, y bastante…</t>
  </si>
  <si>
    <t>…el referido apresamiento; apercibidos de que pasado dicho término sin haber comparecido, se procederá en su ausencia y rebeldía á lo que haya lugar en derecho. Por providencia del Sr. D. Josef (García de la Torre, dei Consejo de S. M., al calde en su Real casa y corte, y para hacer pago á cierto acreedor, se saca á públi ca subasta por el término de go dias una casa sita en la calle de 2a Madera alta de esta corte, con vuelta á la de la Cruz del Es…</t>
  </si>
  <si>
    <t>…militares ó patriotas que hubieren muerto en defensa de la justa causa de la nación, ha cabido en suerte del primer extracto de la de este dia á Doña María Antonia Bravo, hija de D. Josef, teniente de infan tería , muerto en el campo del honor. ARTICULO DE OFICIO. Circular de la Dirección general de Rentas. Con fecha de ayer ha comunicado á esta dirección el Excmo. Sr. secreta rio del despacho de Hacienda la Real orden que sigue : ,,El Rey ha…</t>
  </si>
  <si>
    <t>…vind. muchos años. Chalcatongo Febrero 2 de 1817.= Antonio Aldao. = Sr. teniente coronel y comandante D. Patricio López.” 2.0 Del Exento. Sr. comandante general mariscal de campo D. Josef de la Cruz. ,, Excmo. Sr.: Paso á manos de V. E. el adjunto parte original que me ha dirigido el sargento mayor D. Josef Ignacio Ortiz de Rosas, comandante de la segunda división de este egército, de resultas de la recorrida que hizo por varios puntos de las…</t>
  </si>
  <si>
    <t>…tonio López Gómez, natural de Cádiz, y de su esposa Doña Manuela Perez de Abreu, natural de la ciudad de S. Felipe y Santiago del Bejucar,por sí y en nombre de sus hijos legítimos D. Josef, D. Lorenzo, D. Antonio, Doña María de la Concepción, Doña Gertrudis, Doña María de Jesús, D. Francisco,D. Juan, D. Manuel y Dou Ramón López Perez, naturales de la Havana; y habiendo fallecido el referido su padre D. Antonio López Gómez en el mismo año de 180…</t>
  </si>
  <si>
    <t>JosefGonzález</t>
  </si>
  <si>
    <t>tas y respuestas entre los mismos discípulos, que duró una hora, resultando ser los mas aventajados y dignos del premio en la primera clase D. Juan Diez, D. JosefGonzález, seminaristas, y D. Remigio García, natural de este sitio : en la segunda D. Josef Tejada , natural de Madrid, D, Eladio Ra mos , seminarista , y D. Cárlos Larravide, de este sitio: en la tercera los se minaristas D. Juan Sánchez Rubio, D. Ramón Pintor y D. P…</t>
  </si>
  <si>
    <t>Jove, Diego Cónsul</t>
  </si>
  <si>
    <t>Diego Cónsul Jove</t>
  </si>
  <si>
    <t>443</t>
  </si>
  <si>
    <t>…concurrencia; en tendidos que de no hacerlo les parará el perjuicio que haya lugar. Quien quisiere adquirir el secreto de la fábrica de hules de seda, de que era due ño y director D. Diego Cónsul Jove, con privilegio exclusivo por ser los mejores que se conocen, como es notorio, puede acudir á su viuda Doña Josefa Lacomme, que vive en Cádiz, callejón de los Descalzos, núm. 55, que ofrece cerrar la fábrica para no perjudicar al comprador. Se halla vacante l…</t>
  </si>
  <si>
    <t>Jovellanos, Gaspar Melchor de</t>
  </si>
  <si>
    <t>Gaspar Melchor de Jovellanos</t>
  </si>
  <si>
    <t>…ica Matritense, quejándose de unas impresiones fraudulentas que se habían hecho en Mallorca y Valencia del informe de la sociedad sobre la ley agraria, re dactado por su individuo D. Gaspar Melchor de Jovellanos , ha resuelto S. M. que el Consejo renueve la publicación de las leyes penales que rigen acerca de ios delitos de la prensa, en cuanto se refieren á la propiedad de los autores sobre sus obras. Publicada en el Consejo la citada Real resolución, ha acordado su…</t>
  </si>
  <si>
    <t>Jover, Feliciano</t>
  </si>
  <si>
    <t>Feliciano Jover</t>
  </si>
  <si>
    <t>…rimientos que espera encontrar en ella. ESPAÑA. Ferrol 4 de Noviembre. En la tarde del i.° de Octubre entró en este puerto el bergantín mercan te español nombrado el Noticioso, su capitán D. Feliciano Jover, con car gamento de azúcar y aguardiente para el comercio de la Coruña y Santan der, procedente de la Havana, de donde salió el día 8 del próximo pasado Agosto en 54 dias de navegación, en convoy de treinta y tantos buques, es coltados por el bergantín de gue…</t>
  </si>
  <si>
    <t>Joyes, Patricio</t>
  </si>
  <si>
    <t>Patricio Joyes</t>
  </si>
  <si>
    <t>…sta villa, y por la escribanía del número de D. Antonio López de Salazar, ha señala do para la celebración de junta general de acreedores á la casa de giro, titulada en esta corte D. Patricio Joyes é hijos, el dia 8 de Junio próximo á las 9 de su mañana en una de las salas consistoriales del Excmo. ayuntamiento de esta capital; lo que se hace saber para que por sí ó persona que Ies represente con poder bastante concurran á ella; con prevención que de no…</t>
  </si>
  <si>
    <t>Ju</t>
  </si>
  <si>
    <t>…miso se procede á Ja enagenacion. Quien quisiere hacer postura la verifique dentro del término referido ante el indi cado señor alcalde de corte, por la escribanía de provincia de D. Ju¿n Antonio Díaz Noriega, que le será admitida siempre que sea á dinero metálico, con exclu sión de todo papel-moneda, y cubra las dos terceras partes de su tasa, y no en otra forma. En la ciudad de Arnedo, en la Rioja, se halla vacante la cátedra de latinidad:…</t>
  </si>
  <si>
    <t>Jua</t>
  </si>
  <si>
    <t>…e, id.“Otra de Ja parroquia de S. Martin, antes de su demolición, id.“Otra del puente de Toledo, id.“Otra de la cárcel de corte, á 2 rs.“ Estampas de retratos: de Felipa 1 y Reina Doña Jua na, de Cárlos v, de Felipe ni, de Felipe iv, de Cárlos 11 y de Fernando el vi, á 4 rs. cada una; de Cárlos m á 2 rs.; y de los profesores Pablo de Céspedes, Don Diego Velazquez y D. Antonio Palomino, á 4 rs. cada una.. — Advertencia. El diccionario histórico…</t>
  </si>
  <si>
    <t>…adelante, que le abra za tierra de Doña Juana Pantoja, su caber una fanega escasa, en 650 rs.: otra tier ra á las eras de los Valdemosos, linde con tierras del marques de Sílas y Doña Jua na Pantoja, de caber 9 celemines poco menos, en 900 rs.: otra donde dicen la Concepción, linde con tierra de las monjas, de caber fanega, en 875 rs.: otra al pozo de la nieve, que fue viña, linde con tierras de D. Julián de Toro, de caber fanega y media, en 1…</t>
  </si>
  <si>
    <t>Juan</t>
  </si>
  <si>
    <t>…f Amat y Desvaíls, D. Pablo Navas y Loigorri, D. Josef Navarro y Alarcon , D. Agustín Blake y Tovar, D. Josef Romero Dorado, D. Manuel Vega y Romero, D. Al varo de Navia y Osorio, D. Juan de ia Lastra y Mata, D. Dionisio Sierra y Abello, D. Antonio Jácome y Villena, D. Antonio Fernandez Pinzón, Don Antonio de los Reyes y Céspedes, D. Josef García Merlo, y á los artilleros disti nguidos D. Josef Torrecilla, D. Adriano Torrecilla y D. Josef de P…</t>
  </si>
  <si>
    <t>…lmazan, teniente corregidor de esta villa, y escribanía de D. Vicente de la Costa, se han formado autos á instancia de Doña Juliana Leceni, viuda de D. Vicente Gómez, y de su hijo D. Juan, reclamando 14 vales de 150 pesos, y uno de 300 de las creaciones de i.° de Setiembre de 1808, y nueve de ellos renovados en Sevilla en i.° de Setiembre de 809 , los cua les se retuvieron en esta corte en la oficina de renovación, y fueron remitidos en oficio…</t>
  </si>
  <si>
    <t>…bajos Pi rineos, y vecino de la ciudad de Cádiz, que falleció en el castillo de Sta. Catalina de aquella plaza en 1809, sobre que se les entreguen los bienes secuestrados á di cho D. Juan, ha mandado se cite á D. Josef Rey, hijo de aquel, ó cualquiera otro que sea, ó se considere interesado á Jos referidos bienes, para que dentro del tér mino de un mes comparezcan en dicha suprema junta, y por la escribanía de cámara de la misma, que está á ca…</t>
  </si>
  <si>
    <t>…f María del Toro, el subteniente D. Ignacio Bobadi lla, idem D. Joaquin Arzamendi, Ídem D. Josef María Carmona, el ciru jano D. Miguel Añon, el cadete D. Francisco Rodríguez, idem D. Juan La gos, idem D. Lope Urriza, del regimiento fijo. El subteniente D. Juan Mo rilla, de la partida de España. El alférez D. Josef Mariano Campo, el ca dete D. Bernardo Franco, idem D. Josef Zacarías Puente, de lanceros. El alférez D. Joaquin Nuñez, de húsares. El…</t>
  </si>
  <si>
    <t>…, establecido en la ciudad de Valencia, para Graena: D. Diego Rodénas, médico titular de la ciudad de Aljama, para los baños de este mismo nombre y pueblo: en la costa de Málaga á D. Juan de la Monja, médico ti tular de Pedraza de la Sierra, para Ardales: en el reino de Sevilla D. Miguel Baldovi, residente en S. Felipe de Xátiva , para Bornos: en Cataluña Don Ignacio Graells, médico de Carabanchel de abajo, para Caldas deMombuy: D. Antonio Coc…</t>
  </si>
  <si>
    <t>…e donación de 27 de Octubre de 1645, la cual permane ce en todo su vigor por lo que hace á lo demas , como igualmente la Carta Real de 17 de Diciembre de 1734, por la queePSr. Rey D. Juan v, de glo riosa memoria, tuvo á bien disponer que los hijos primogénitos de los Prínci pes del Brasil se titulasen Príncipes de Beira. Y este decreto se cumplirá se gún su contenido , no obstante cualesquiera leyes que hubiere en contrario, las cuales tengo p…</t>
  </si>
  <si>
    <t>…tinente, y que la Guayana estaba atacada por Piar, pero que el egército del Rey , bajo mi mando, iba sobre él, tuvo la osadía de intimar y amenazar al valiente coro nel el cazique D. Juan de los Reyes Várgas que la defendía, y le contestó cómo merecía, Llegó este egército al Apure, y el enemigo tuvo que levantar el sitio y disponerse á la fuga ó al combate. Las tropas, fatigadas con la lar ga marcha que traían , y que en vez de sitio donde des…</t>
  </si>
  <si>
    <t>…s y formar cauce en el rio, que ha hecho construir la compañía dei Guadalquivir, se botó al agua el d-ia 2Ó con Ja mayor solemnidad. Al amanecer le bendijo el director de la misma D. Juan dePrada, dignir</t>
  </si>
  <si>
    <t>…rías de Rodríguez, calle de las Carretas, de Barco, carrera de S. Gerónimo, y de Villa, plazuela de Sto. Domingo. Mapa geográfico de la América meridional, dispuesto y grabado por D. Juan de la Cruz Cano y Olmedilla, geógrafo que fue de S. M.; se compone de ocho pliegos de papel imperial. Este mapa por su grande escala, por el menudo y exacto detalle que tiene de lo interior de aquellos paises, y curiosas noticias que comunica de aquella parte…</t>
  </si>
  <si>
    <t>…os del regimiento de la Union , el subteniente de Barbastro D. Agustín Isumarri, el teniente de Na varra D. Antonio Villa, y el de la misma clase graduado del regimiento de Burgos D. Juan 'derla Cruz' Osores.</t>
  </si>
  <si>
    <t>…aria D. Agustín Otermin; el capitán D. Juan Neporrmceno Montero y el teniente D. Bernardo Vara, del regimiento de la Union: el teniente de Navarra D. Antonio Villa, y el de Burgos D. Juan de la Cruz Osores, que fueron heridos: Vara y Villa á pesar de sus heridas con tinuaron en la acción; y al teniente de cazadores de Burgos D. Manuel Martinez. El brigadier D. Josef Canterac ha manifestado á la cabeza de su columna el brío y valor que le disti…</t>
  </si>
  <si>
    <t>…, y temiendo ser asesinado, se retiró sin esperar contestación, la cual no enviaron ios ene migos , que continuaron defendiéndose. En 20 de Junio desembarcó en punta de Mangles el coronel D. Juan ¿41dama con parte del regimiento de la Union y el batallón de cazadores de la Reí na Doña Isabel, cuyas fuerzas ascendían á 1200 hombres. Al dia siguien te se comenzó el movimiento con dirección al pueblo de Porlamar, y aque lla noche hicieron alto las tropas…</t>
  </si>
  <si>
    <t>…e y Santiago del Bejucar,por sí y en nombre de sus hijos legítimos D. Josef, D. Lorenzo, D. Antonio, Doña María de la Concepción, Doña Gertrudis, Doña María de Jesús, D. Francisco,D. Juan, D. Manuel y Dou Ramón López Perez, naturales de la Havana; y habiendo fallecido el referido su padre D. Antonio López Gómez en el mismo año de 1802 , al tiempo de estar para recoger dicho documento, habiendo dejado pagado parte de sus gastos, dejan do á debe…</t>
  </si>
  <si>
    <t>Juan, Francisco Xavier de S.</t>
  </si>
  <si>
    <t>Francisco Xavier de S. Juan</t>
  </si>
  <si>
    <t>…isma pro vincia. El Rey nuestro Señor se ha servido conceder los empleos siguientes: En España. El Gobierno militar y político de Castellón de la Plana, en el reino de Valencia, á D. Francisco Xavier de S. Juan, brigadier de los Reales egércitos, y capitán del regimiento de guardias de infantería Españo la: el del puerto de Soller, en la isla de Mallorca, á D. Guillermo Julián, teniente graduado del regimiento de infantería de Mallorca: el del castillo de Paso-alto,…</t>
  </si>
  <si>
    <t>Juan, Jorge</t>
  </si>
  <si>
    <t>Jorge Juan</t>
  </si>
  <si>
    <t>200</t>
  </si>
  <si>
    <t>…aria Uiierte, los cuales han concluido el último curso, y recibi do en premio de eso, y de su sobresaliente aplicación, una medalla de plata de una onza , y el examen marítimo de D. Jorge Juan. También la tenido este año la sociedad el placer de ver restablecido en esta ciudad, y á expensas suyas, el importante estudio de las humanidades, bajo la dirección de su dignísimo socio D. Félix Josef Reinoáo , bien conoci do entre los literatos españole^,…</t>
  </si>
  <si>
    <t>Juan, Josef S.</t>
  </si>
  <si>
    <t>Josef S. Juan</t>
  </si>
  <si>
    <t>…gundo cabo comandante general de la provincia de Castilla la Vieja al mariscal de campo D. Juan Poutous y Mojica: para gobernador militar y político de Zamora ai de la misma clase D. Josef S. Juan: para ayudante de la ciudadela de Valencia al teniente D. Antonio Chover, alférez de caballería, agregado al estado ma yor de la plaza de S. Felipe de Járiva ; y para capitán de llaves de la del Ferrol al teniente D. Wenceslao Otañez, subteniente del regimien…</t>
  </si>
  <si>
    <t>S. M. se ha servido nombrar para el corregimiento político de la ciudad d£ Zamora al mariscal de campo D. Josef S. Juan : para el de letras de la ciudad de Avila á D. Esteban Rodríguez Gallego, alcalde mayor que era de Guadalajara-*. para el de Estepa á D. Lorenzo Cazaux : para el de Gibraltar á D. Julián Ruiz Marín, alcalde mayor que era de Ubrique: para el de Bedmar á D. Mig…</t>
  </si>
  <si>
    <t>Juárez, Higinio</t>
  </si>
  <si>
    <t>Higinio Juárez</t>
  </si>
  <si>
    <t>…de 9 del corriente pa ra el comandante de la décima brigada , el que fue entregado en la hacienda del Bizcocho el 10 á las siete de la noche, según me avisa su comandante ca pitán D. Higinio Juárez. ,, Al tránsito por S. Luis de la Paz para dicha hacienda se encontró la partida con una gavilla de 60 rebeldes, que persiguió hasta dispersarlos , qui tándoles nueve caballos, con los que remontó algunos dragones que llevaban muy fatigados los suyos. „ Pongo…</t>
  </si>
  <si>
    <t>Juárez, Sebastian</t>
  </si>
  <si>
    <t>Sebastian Juárez</t>
  </si>
  <si>
    <t>…ajo la dirección del actual catedrático de ellas ei R. P. Mtro. Fr. Toribio López, jubilado en sagrada teología, que presentó á examen sucesivamente á los discípulos colegial beca D. Sebastian Juárez, D. Jacinto de Bartolomé, natural de este sitio; á Don Pedro Izquierdo, D. Eugenio Maroto, D. Miguel Moral y D. Tomas de la Fuente, quienes respondieron con desembarazo á las preguntas que les hizo so bre el sistema de la numeración, naturaleza del número, re…</t>
  </si>
  <si>
    <t>Jubera, Julián</t>
  </si>
  <si>
    <t>Julián Jubera</t>
  </si>
  <si>
    <t>…a Re bollo,” 2.0 ,,Excmo. Sr.: Para el superior conocimiento de V. E. le dirijo el parte original que, con fecha 7 del que rige, me ha dado el teniente de dra gones de Sierragorda D. Julián Jubera ^comandante dei destacamento de San Vicente, referente al vigoroso encuentro que tuvo con su partida en las in mediaciones de la hacienda de Peña contra una gavilla de mas de 90 hom bres mandada por los rebeldes cabecillas Alvarez y Camacho. „ Dios guarde á V…</t>
  </si>
  <si>
    <t>Julián, Guillermo</t>
  </si>
  <si>
    <t>Guillermo Julián</t>
  </si>
  <si>
    <t>…D. Francisco Xavier de S. Juan, brigadier de los Reales egércitos, y capitán del regimiento de guardias de infantería Españo la: el del puerto de Soller, en la isla de Mallorca, á D. Guillermo Julián, teniente graduado del regimiento de infantería de Mallorca: el del castillo de Paso-alto, en la isla de Tenerife, á D. Francisco Martinez, teniente gradua do del regimiento de infantería de Ultonia: la primera ayudantía de la plaza de Sevilla á D. Luis Corde…</t>
  </si>
  <si>
    <t>Jumilhak</t>
  </si>
  <si>
    <t>792</t>
  </si>
  <si>
    <t>…so, y la escuadra dio la vela el 4 por la noche. En el embarque de las tropas reinó el mayor orden. S. E. el conde de Woronzoíf, comandante en gefe del cuerpo ruso , y e! teniente general Jumilhak , comandante de la décimasexta división militar, presenciaron ios pormenores de esta operación. El dia que llegó la última columna rusa la pasaron revista estos dos generales, como también á la legión de la Costade-Oro, que se halla de guarnición en Calais. L…</t>
  </si>
  <si>
    <t>Jurado, Antonio García</t>
  </si>
  <si>
    <t>Antonio García Jurado</t>
  </si>
  <si>
    <t>…Gárate, presbítero; ai brigadier D. Andrés de la Rúa; ai capitán de fragata D. Ma nuel González de la Vega ; á D. Eusebio García , capitán de patriotas distin guidos de Méxicio; á D. Antonio García Jurado; al teniente de navio Don Félix Gastambide ; al teniente coronel D. Antonio Conti, y al capitán de milicias disciplinadas D. Eugenio Gurtubay. El cuerpo general de comercio de la ciudad de Zaragoza ha dirigido á S. M. la exposición siguiente: ,,Señor: La feli…</t>
  </si>
  <si>
    <t>Justicia, Secretario del Despacho de Gracia y</t>
  </si>
  <si>
    <t>Secretario del Despacho de Gracia y Justicia</t>
  </si>
  <si>
    <t>…1S17. Circular de la Dirección general de Rentas. Por el Ministerio de Hacienda, con fecha 17 del corriente, se ha comu nicado á esta Dirección general la Real orden que sigue: Al Señor Secretario del Despacho de Gracia y Justicia digo con esta fe cha lo siguiente: „ He dado cuenta al Rey nuestro Señor de un expediente que para su Real noticia y determinación pasó la Dirección general de. Ren tas á este Ministerio de mi cargo, cuyo resultado convence de que los indivi duos del Clero de…</t>
  </si>
  <si>
    <t>Kassel, Cárlos Josef de</t>
  </si>
  <si>
    <t>Cárlos Josef de Kassel</t>
  </si>
  <si>
    <t>…todo este ano queden en la secretaría, plazuela de la Leña, nútn. 20, cuarto principad, todas las memorias de los que soliciten semejante recompensa y distinción. Se hace saber á D. Cárlos Josef de Kassel y á Doña Teresa María de las Mercedes de Kassel, muger de D. Andrés Alvarez Calderón , hijo é hija.de D. Josef Santiago de Kassel, mariscal de campo de los egéfcitos de S. M. Ca tólica, y de Doña María de la Luz Espinosa deContreras, natural de la Havana, que…</t>
  </si>
  <si>
    <t>Kassel, Josef Santiago de</t>
  </si>
  <si>
    <t>Josef Santiago de Kassel</t>
  </si>
  <si>
    <t>…semejante recompensa y distinción. Se hace saber á D. Cárlos Josef de Kassel y á Doña Teresa María de las Mercedes de Kassel, muger de D. Andrés Alvarez Calderón , hijo é hija.de D. Josef Santiago de Kassel, mariscal de campo de los egéfcitos de S. M. Ca tólica, y de Doña María de la Luz Espinosa deContreras, natural de la Havana, que habiendo fallecido en el reino de los Países-Bajos el barón Josef Benito de Kassel Blamont, son llamados á recoger su sucesión en…</t>
  </si>
  <si>
    <t>Keith</t>
  </si>
  <si>
    <t>…íodo mas interesante de los tiempos modernos. En la parte literaria se nota una correspondencia entre el Rey Jacobo y Fenelon, Swift, el obispo de Rochester, milord Bolinbroke, el mariscal Keith, y otros personages igualmente célebres. En la parte política se cuentan mas de 10® cartas autógrafas de la familia de los Stuardos, como también un gran número de cartas de Carlos xii , Rey de Suecia; de Pedro el Grande, Czar de Moscovia; de Luis xiv, y de c…</t>
  </si>
  <si>
    <t>Keller</t>
  </si>
  <si>
    <t>…en dos millones de flori nes los regalos que, según una antigua costumbre, las provincias ponen á los pies del trono cuando se casa el Soberano. SUIZA. Lausana zp de Diciembre. El capitán Keller, suizo de nacimiento, que durante la usurpación de 1815 sirvió á las órdenes de Stoffel, queriendo entrar en el regimiento de Bleuler, representó para el efecto á S. A. R. el coronel general. Este Prínci pe encargó al gefé de dicho cuerpo que juntase á los of…</t>
  </si>
  <si>
    <t>Kindeian, Sebastian</t>
  </si>
  <si>
    <t>Sebastian Kindeian</t>
  </si>
  <si>
    <t>…alabra y por escrito que colectivamente tienen declarado por sus respec tivas ordenanzas. S. M. ha tenido á bien nombrar gobernador y capitán general de la isla de Sto. Domingo ai brigadier D. Sebastian Kindeian x teniente de Rey de la plaza de la Havana.. El Rey nuestro Señor se ha servido admitir la generosa y desinteresada donación á favor del Real erario, que al tiempo de su fallecimiento ha hecho el teniente de navio D. Manuel Balay de 31526 rs. y 30 mrs. vn. qu…</t>
  </si>
  <si>
    <t>Kinnaird</t>
  </si>
  <si>
    <t>508 ^ ^ , mera distinción, y entre ellos sir Francis Burdett, lord FitzwiUiam y lord Kinnaird. Se dice que el marques de Hunlly será nombrado gobernador del cabo de Buena-Esperanza, y que lord Cárlos Somerset irá á la India. Se asegura que la Princesa Carlota está en un estado que debe causar mu cho regocijo á la nación entera. Idem 2 4. Los periódico…</t>
  </si>
  <si>
    <t>Kjnkens, Ernesta</t>
  </si>
  <si>
    <t>Ernesta Kjnkens</t>
  </si>
  <si>
    <t>…vn. Quien quisiere hacer postura acuda ante di cho señor juez, y por la escribanía de D. Antonio López de Salazar, que se admi tirá siendo arreglada. Se desea saber el paradero de Doña Ernesta Kjnkens, viuda de D. Ramón Mas, armero de una de los batallones de Voluntarios de Barcelona , que pasó al Norte con el Excmo. Sr. marques de la Romana, para comunicarla un asunto que la inte resa. El sugeto que lo sepa podrá avisarlo á Santander al mayordomo del Excm…</t>
  </si>
  <si>
    <t>Kociusko</t>
  </si>
  <si>
    <t>…tereses, en atención á que la Dieta se hadaba reunida cuando se contrató el préstamo y salió fiadora de él. SUIZA. Lausana 21 de Octubre. El i&lt;f de este mes falleció en Soleure el general Kociusko, quien vivía hace algunos años en un retiro tranquilo y pacifico, haciendo grandes bene ficios á la gente menesterosa. El nombre de este heroe será mucho mas reco mendable por sus virtudes que por sus hazañas. Las tareas de la sociedad de ciencias naturales,…</t>
  </si>
  <si>
    <t>Konovinzin</t>
  </si>
  <si>
    <t>…rato á Mr. de Guriew, ministro de Hacienda; á Mr. Kosadawlew, ministro del Interior; al príncipe Alejandro Golizin , ministro in terino del Culto y de la Instrucción pública, y al general Konovinzin, mi nistro de Guerra ; y á otros personages ha regalado otras alhajas. Hasta 30 de Junio han entrado i(3&gt; buques en el puerto de Cronstadt. Hay pocos egemplos de tan gran concurrencia en aquel puerto. La escuadra rusa encargada de traer de Francia una parte d…</t>
  </si>
  <si>
    <t>Kosciusko</t>
  </si>
  <si>
    <t>…os caballeros y damas de la ciudad.” El jueves próximo partirá el Rey para la Haya y Amsterdam, donde esperan á S. M. Se cree que volverá muy pronto. SUIZA. Lausana 8 de Abril. El general Kosciusko, que vive en Soleure muy querido de aquellos ha bitantes y de los de su comarca, á quienes hace mil beneficios, firmó el 2 de este mes una declaración, por la que ha abolido la servidumbre de los habi tantes de su señorío de Siechnowitze, en el palatinado dcB…</t>
  </si>
  <si>
    <t>Kotzebue</t>
  </si>
  <si>
    <t>…a de que en el mes de Junio del año pasado había entrado ea el puerto de Petropauiovsk el navio Rurik , que el canciller conde de Romanzow expidió hace dos años, bajo el mando del teniente Kotzebue, para hacer un vlage de descubrimientos náuticos y geo gráficos. En el mes de Julio se hizo á la vela de Petropauiovsk. SUECIA. Stockolmo 14 de Marzo. El ministro de Suecia en Copenhague general Tawast, que ha recibido Ultimamente de S. M. Luis xvm la gran cr…</t>
  </si>
  <si>
    <t>…Inglaterra cerca de nuestra corte , partió de esta capital hace algunos dias con dirección á Moscow. La gaceta de esta corte ha publicado el extracto de un oficio dirigido por el teniente Kotzebue al canciller del imperio conde de Romanzow , sobre la navegación del buque Rurik desde Kamtschatka hasta la Nueva-Albion, POLONIA. Varsovia j de Noviembre. Hoy ha principiado aquí nuestra feria, y han concurrido á ella muchos comerciantes de Leipsick, de otra…</t>
  </si>
  <si>
    <t>La-val</t>
  </si>
  <si>
    <t>…s de los ministros, y en particular de lord Castlereagh á Mrs. Georges, Canning y Tomas. FRANCIA. Parts 5 de Abril. ' El 31 de Marzo falleció el duque de Laval, par de Francia. El príncipe La-val, embajador d¿-l Rey cerca’de la corte de España, que actualmente se halla en París, ha sucedido á su padre en lá dignidad de par.</t>
  </si>
  <si>
    <t>Laborda, Francisco de</t>
  </si>
  <si>
    <t>Francisco de Laborda</t>
  </si>
  <si>
    <t>…e Gracia y Justicia, y es la siguiente : ,, Excmo. Sr.: He dado cuenta al Rey nuestro Señor de lo expuesto por V. E. en su informe de 22 de Julio último sobre la representación de Don Francisco de Laborda, asistente de Sevilla, en solicitud de que se le conser ve en la posesión en que han estado todos los asistentes, sus antecesores, de disfrutar el palco que le corresponde por su destino en el teatro cómico de aquella ciudad , de cuyo uso dice le ha despojado…</t>
  </si>
  <si>
    <t>Laborde, Angel</t>
  </si>
  <si>
    <t>Angel Laborde</t>
  </si>
  <si>
    <t>…uchos años. Palacio 11 de Octubre de 1817. = Garay. = Sres. directores generales de Rentas. Enterado el Rey nuestro Señor de una representación dirigida por el ca pitán de fragata D. Angel Laborde, en la cual manifiesta el desaire que ha sufrido su empleo, y la justa confianza que por él debia merecer para que sin otra garantía ni fianza se le hubiese facilitado la Real patente de corso que pidió en la comandancia militar de Marina de la provincia de C…</t>
  </si>
  <si>
    <t>Labordeta, Juan</t>
  </si>
  <si>
    <t>Juan Labordeta</t>
  </si>
  <si>
    <t>…jos y compañía 1®: Martínez, sobrino y compañía 600: Felipe de Burgos 10: Manuel Aguilar 10: Ma nuel Abad ió: Antonio Martin Bervemejo 100: Andrés de Sierra 10: Juan de Sierra 10: D. Juan Labordeta 100: D. Manuel Ximenez 300: Juan de la Vega 12 : Miguel Muñoz 60: Doña Francisca Carrasco 50: Salvador Cas co 10: Diego de Castro 12: D. Rafael Caballero 40: D. Salvadar Carruana 100: D. Antonio Fernandez 200: Francisco García Ruiz 60.__ To ta! 6061. Debiendo…</t>
  </si>
  <si>
    <t>Labrador, Pedro</t>
  </si>
  <si>
    <t>Pedro Labrador</t>
  </si>
  <si>
    <t>…ue S. M. se digna determinar en la Real orden inserta; espe rando nos dé V. S. aviso del recibo de esta. Madrid 5 de Agosto de 1817. El Rey nuestro Señor se ha servido conceder al Sr. D. Pedro Labrador, su embajador nombrado cerca de la corte de Ñapóles, su Real permiso para admitir y usar de la gran cruz de S. Fernando y del Mérito del reino de las Dos Sicilias con que aquel Soberano le ha agraciado en atención á los impor tantes servicios que le hizo en e…</t>
  </si>
  <si>
    <t>Labrador, Pedro Gómez</t>
  </si>
  <si>
    <t>Pedro Gómez Labrador</t>
  </si>
  <si>
    <t>…a ciones, con los que se hallaba íntimamente enlazada la suerte de la Sra. In fanta Reina de Etruria, de que no podia desentenderse el Rey nuestro Señor, su augusto Hermano. Ya el Sr. D. Pedro Gómez Labrador, plenipotenciario de S. M. en el congreso , en egecucion de sus instrucciones, había tratado de los medios jus tos de fijarla, como asi bien de arreglar los demas puntos que decían relaejon con los derechos del Rey nuestro Señor, empleando en esto sus co noci…</t>
  </si>
  <si>
    <t>1270</t>
  </si>
  <si>
    <t>…on el dia 6 de Octubre 200 casas, la parroquia y la casa de ayuntamiento: el fuego era tan activo, que derritió las campanas de una torre. ITALIA. Ñapóles 20 de Octubre. El Excmo. Sr. D. Pedro Gómez Labrador, embajador extraordinario de S. M. Católica cerca de nuestra corte, tuvo la honra de presentar anteayer á S- M. sus credenciales. GRAN BRETAÑA. Londres 31 de Octubre. La gaceta de Ceilan dice que los naturales de aquella isla han adoptado el método de la vacu…</t>
  </si>
  <si>
    <t>Lacomme, Josefa</t>
  </si>
  <si>
    <t>Josefa Lacomme</t>
  </si>
  <si>
    <t>…fábrica de hules de seda, de que era due ño y director D. Diego Cónsul Jove, con privilegio exclusivo por ser los mejores que se conocen, como es notorio, puede acudir á su viuda Doña Josefa Lacomme, que vive en Cádiz, callejón de los Descalzos, núm. 55, que ofrece cerrar la fábrica para no perjudicar al comprador. Se halla vacante la plaza de médico cirujano del partido que componen la villa de Villaro y anteiglesias de Dima, Castillo Elijabeitia y Aran…</t>
  </si>
  <si>
    <t>Lacrampa, Domingo</t>
  </si>
  <si>
    <t>Domingo Lacrampa</t>
  </si>
  <si>
    <t>…Cataluña, al tenien te coronel D. Francisco Requesens, capitán agregado al batallón de infante ría ligera de la Albuhera: la primera ayudantía de la plaza de Mahon, en Mallorca, á D. Domingo Lacrampa, segundo ayudante de la misma: la de Sta. Cruz de Tenerife, en Canarias, á D. Santiago Calzadilla, subtenien te agregado á su estado mayor; y la de la Puebla de Sanabria á D. Pedro León, subteniente del regimiento infantería de Mallorca. En América. La subins…</t>
  </si>
  <si>
    <t>Lagaron, Diego Fernandez</t>
  </si>
  <si>
    <t>Diego Fernandez Lagaron</t>
  </si>
  <si>
    <t>…M., teniente corregidor de ella, y escribanía de su número del cargo de D. Juan Raya, pende ia testamentaría formada í virtud del fallecimiento ocurrido bajo cierta disposición de D. Diego Fernandez Lagaron, vecino que fue de esta vi lla, y gefe que fue de cocina de la Exctna. Sra. duquesa de Alba, y viudo de Doña Isidora Aivarez, en la que habiéndose hecho el correspondiente inventario de bie nes, y practicado también otras diligencias últimamente á instancia d…</t>
  </si>
  <si>
    <t>Lagasca, Mariano</t>
  </si>
  <si>
    <t>Mariano Lagasca</t>
  </si>
  <si>
    <t>…Príncipe, en la isla de Cuba, para que pueda usar de la cruz de la flor de Lis con que le ha condecorado S. M. Cristianísima. El profesor de botánica general del Museo de Ciencias D. Mariano Lagasca dará principio á sus lecciones en el Real jardín botánico de esta corte el día iS del corriente á las cuatro y media de la tarde, y las continuará en dicho jardín todos los lunes, miércoles y viernes de cada semana á la mis ma hora hasta fines de Octubre. En…</t>
  </si>
  <si>
    <t>Lagos, Juan</t>
  </si>
  <si>
    <t>Juan Lagos</t>
  </si>
  <si>
    <t>43° Toro, á los subtenientes del mismo cuerpo D. Ignacio Bobadilla y D. Joa quín Arzamendi, ai cadete del mismo, que me servía de ayudante, D. Juan Lagos, al subteniente D. Juan Morilla, de ía partida de España, al alférez de húsares D. Joaquín Nuñez, al cadete de caballería ligera D. Bernardo Franco, que también hacia de mi ayudante, á los sargentos Narciso Otero, de la partida de España, D. Josef Martínez, d…</t>
  </si>
  <si>
    <t>Lahoz, Toribio</t>
  </si>
  <si>
    <t>Toribio Lahoz</t>
  </si>
  <si>
    <t>…n Nicasio López y D. Josef Yarza, unos y otros de la sala de arquitectura: en la del modelo, por lo tocante á escultura , se confirió á D. Matías Ayardi; y en la parte de dibujo á D. Toribio Lahoz: en la de academias de figuras á D. Gaspar Safesa , en la de cabezas á D. Lorenzo Viscasillas, en la de prin cipios á D. Eduardo Vicente. Todos se presentaron á recibirlos de mano del vice-presidente D. Josef Sobrevia en la junta ordinaria de 6 del corrien te…</t>
  </si>
  <si>
    <t>Lajusticia, Josef</t>
  </si>
  <si>
    <t>Josef Lajusticia</t>
  </si>
  <si>
    <t>…sco Gil y D. Ramón Bosquet trata ron extensamente de todos los rudimentos, en lo cual, aunque acreditaron to dos su aplicación y adelantamiento, sin embargo sobresalió entre todos Don Josef Lajusticia. En la sintaxis D. Antonio Bueno, D. Felipe Grima, Don Mariano Laplana, D. Mariano Martínez, D. Manuel Guerrero y D. Fran cisco Palacios trataron de todo lo concerniente á la sintaxis, en la que tam bién se acreditaron de aplicados, sobresaliendo entre todos…</t>
  </si>
  <si>
    <t>Lán, Juan de</t>
  </si>
  <si>
    <t>Juan de Lán</t>
  </si>
  <si>
    <t>…Oran, que arruinada por los terremotos se veia atacada por los moros. Con motivo de la guerra declarada á la Francia en 1793 fue nombrado mayor general de la escuadra del teniente general D. Juan de Lán gara, y tuvo como tal una parte muy activa en todas las operaciones; con curriendo á todas las campañas del Mediterráneo, á la entrada y ocupación de Tolon , y á su conservación y abandono: por todo lo cual mandó S. M. se le diesen gracias en su Real nombre,…</t>
  </si>
  <si>
    <t>Lancha, Manuel Rodríguez</t>
  </si>
  <si>
    <t>Manuel Rodríguez Lancha</t>
  </si>
  <si>
    <t>…a castellana y destinada á un solo asunto la malignidad febril, la calentura puerperal, la hipocondría y la elefantiasis, D. Pedro Rafael Bonilla, D. Josef de Alonso Quintanilla , D. Manuel Rodríguez Lancha y D. Josef María Benito y Lentijo, que eran los que se hallaban en disposición de poder aspirar al premio, firmaron con efecto á este intento; y sin embargo de que todos han desempeñado el objeto que se les confió á satisfacción de la junta , haciéndolos acreedores á una cons…</t>
  </si>
  <si>
    <t>Landa, Francisco de</t>
  </si>
  <si>
    <t>Francisco de Landa</t>
  </si>
  <si>
    <t>…la noche del propio dia con los oficiales de este cuerpo capitanes D. Josef Antonio de Arcega, D. Francisco Gea , D. Juan Cruz de Ansa, teniente D. Mariano Ribera , y subtenientes D. Francisco de Landa , D.Josef Manuel Mateos y D. Juan de Ansa, salí con 106 infantes y 27 caballos er&gt; busca de la chusma y de cualesquiera otra que pudiera auxiliarlos. Subí á los llanos del Mogote, recorrí el parage que nombran la Cieneguilla, el de la vista de Ojo de Agua , m…</t>
  </si>
  <si>
    <t>Landavere, Luis de</t>
  </si>
  <si>
    <t>Luis de Landavere</t>
  </si>
  <si>
    <t>…uir y patroci nar al primer agente y socio D. Francisco Wille; á los generosos habitado res principales D. Pedro Abadía y D. Josef Arismendi; á los compartes y apoderados de estos D. Luis de Landavere y D. Tomas Gallegos; y final mente al maestro Bul y todos los demas concurrentes á la grande obra que V. S. me apunta con recomendación. V. S. mismo ha añadido un nuevo tí tulo á los muchos precedentes que tenia ya á la consideración del Rey y del público, esmerándose por todos…</t>
  </si>
  <si>
    <t>Landera, Josef de</t>
  </si>
  <si>
    <t>Josef de Landera</t>
  </si>
  <si>
    <t>…en atención á sus constantes ser vicios y mérito. El R ey nuestro Señor, á consulta del supremo Consejo de Hacienda y Junta general de Comercio y Moneda, se ha dignado conceder á D. Josef de Landera , vecino y fabricante de curtidos de la ciudad de Oviedo', ei privile gio de que pueda poner sobre las puertas de su fábrica el escudo de las Rea les anriíi*' , y lo's demas goces, privilegios y preeminencias que disfrutan las fabricas de igual clase, en prue…</t>
  </si>
  <si>
    <t>Landeros, Juana</t>
  </si>
  <si>
    <t>Juana Landeros</t>
  </si>
  <si>
    <t>…uerzas muy inferiores, señalándose las señoras de la casa del comandante D. Josef Julián Ximenez de Menzana Doña Dolores Romero, su esposa, Doña María Ro mero , Doña Josefa Perez, Doña Juana Landeros, Doña Dimas de Luna, María Máxima y las criadas, á quienes el Excmo. Sr. virey concedió el uso de una cinta blanca con cantos de color de oro. EJ 21 del mismo Octubre marchó en auxilio de este pueblo el capitán D. Manuel Campos, quien hallando á los rebeldes…</t>
  </si>
  <si>
    <t>Landsdale</t>
  </si>
  <si>
    <t>823</t>
  </si>
  <si>
    <t>…ueva ley conten drá á los que tuvieren intención de repetir estos ultrajes hechos á la justicia y á la libertad del comercio. FRANCIA. París // de Julio. Han venido hoy de Londres lord Landsdale, lord Lowther, su hijo, uno de los lores de la tesorería, Mr. Beckett, segundo secretario de Estado del Interior, y Mr. Baring, banquero ingles, uno de los consignatarios del préstamo. En todo el mes de Junio han entrado en el puerto del Havra 126 embar cacio…</t>
  </si>
  <si>
    <t>Lángara, Juan de</t>
  </si>
  <si>
    <t>Juan de Lángara</t>
  </si>
  <si>
    <t>…ente al ajuste del primer tratado de paz que se concluyó entre nuestra nación y la regencia de Argel. Después fue nom brado mayor general de la escuadra de evoluciones que dirigió D. Juan de Lángara en 1787; del departamento de Cartagena al año inmediato, y en 1790 de la escuadra que al mando del marques del Socorro ocupó los mares con tal celeridad, que infundiendo respeto á los mismos ingleses, facilitó las ne gociaciones de la paz entre las dos nacion…</t>
  </si>
  <si>
    <t>…as dependencias de Rentas á quienes corresponda para la mas exacta observancia en cuanto les compete. La Real orden de 11 de Octubre de 1797 que se cita es del tenor siguiente: Al Sr. D. Juan de Lángara digo en este dia lo siguiente: ,, Habiéndose notado en Málaga que los mas de los contrabandos de extracción de moneda é introducción de géneros prohibidos se practicaban ó preparaban por medio de ios barcos palangreros ó pescadores, que se hacen á la mar con…</t>
  </si>
  <si>
    <t>Langenau</t>
  </si>
  <si>
    <t>…de la Loinbardía, viene al frente de ella. El conde de Saurau se pondrá pronto en camino para Madrid. La uni versidad de Pavía le ha conferido el grado de doctor en filosofía. El general Langenau (que sirvió ea otro tiempo en el egército de Saxonia) está encargado por nuestro Gobierno de escribir la historia de las cam pañas del egército austríaco durante los años de 1813 y 1814, y de publi carla con mapas y planes topográficos. Mr. Langenau es el mas…</t>
  </si>
  <si>
    <t>Laplana, Mariano</t>
  </si>
  <si>
    <t>Mariano Laplana</t>
  </si>
  <si>
    <t>…de las cuatro ciases de rudimentos,de gramática latina, de sintaxis de la misma, de retórica y de geografía. En el primer dia, habiéndose presentado los de las dos primeras clases D. Mariano Laplana, D. Felipe Grima y D. Fernando Sancristobal, el primero abrió el acto pidiendo el permiso al público en una canción, y los dos segundos siguieron con otros versos alusivos al mismo efecto. D. Matías García , D. Manuel Gil, D. ¿Antonio Cubero, D. Vicente Grima…</t>
  </si>
  <si>
    <t>Laprada, Agustín Tosantos y</t>
  </si>
  <si>
    <t>Agustín Tosantos y Laprada</t>
  </si>
  <si>
    <t>…o á la fiscalía del Almirantazgo , á D. Angel Fernandez de los Ríos : para el corregimiento de letras de la ciudad de Palencia, vacante por muerte de D. Manuel de Villapadierna, á D. Agustín Tosantos y Laprada, corregidor de la ciudad de Guadix: para este corregimiento á D. Honorio María de Muro, que lo era de Almonte: para el de Montiüa, vacante por muerte de D. Antonio Piernas Martínez, á D. Antonio Pimentel y Valenzue-</t>
  </si>
  <si>
    <t>Lara, Francisco de Villanueva y</t>
  </si>
  <si>
    <t>Francisco de Villanueva y Lara</t>
  </si>
  <si>
    <t>…y en Barcelona en la de Roca, á 11 rs. en pa^ía regular,,, y 1 8 en pasta fina. Comedia española original y nueva titulada la Pastora mas constante, y pastor duque de Alania: por D. Francisco de Villanueva y Lara, impresa en 1787. Vén dese á 2 rs. en papel en el almacén de la imprenta Real. EN LA IMPRENTA REAL.</t>
  </si>
  <si>
    <t>Lara, Joaquín de</t>
  </si>
  <si>
    <t>Joaquín de Lara</t>
  </si>
  <si>
    <t>…ría Guerrero 6: D. Diego de Reina 10: D. Francisco de Reina 10: Juana Montilla 10: Francisco Moyano 20: Fran cisco de Luque ?o: Miguel Palomo 25: Alonso Atañe 8: María Montilla 8: D. Joaquín de Lara 80: D. Antonio Duran 80: D. Diego de la Huerta 40: Juan Tardan 10: viuda de Hernández é hijos y compañía 1®: Martínez, sobrino y compañía 600: Felipe de Burgos 10: Manuel Aguilar 10: Ma nuel Abad ió: Antonio Martin Bervemejo 100: Andrés de Sierra 10: Juan de…</t>
  </si>
  <si>
    <t>Lariz, Mariano</t>
  </si>
  <si>
    <t>Mariano Lariz</t>
  </si>
  <si>
    <t>…brado con toda decisión y energía Vargas.” Parte que se cita del teniente corone i D. L uis Qitintanar. ,, Ayer io después de haber acampado en el puesto de Cuiristarán, man dé al teniente D. Mariano Lariz que con una partida se aproximara á este campo á tiro de fusil, trayendo consigo una bandera blanca para hacer ver á los que lo ocupaban que solo deseaba el que se rindieran á discreción. ,,Luego que fue vista por D. Fermín Urtiz hizo poner en un baluarte otr…</t>
  </si>
  <si>
    <t>Larizagorta, Tomas</t>
  </si>
  <si>
    <t>Tomas Larizagorta</t>
  </si>
  <si>
    <t>…ies, y en la que hubiera empleado seis pares de mu ías y 2 dias con los trillos antiguos, la habia trillado con este en 17 horas y con un solo par, ha mandado hacer otro igual.”__ D. Tomas Larizagorta, vecino de Madrid, escribía también al mismo, con fecha de 19 de Agosto, que en 15 horas habia trillado con él y un par de muías una parva, que dio i8i| fanegas de grano , y la paja bien acondicionada ; que en dia y medio ha bia trillado con él y un par de mu…</t>
  </si>
  <si>
    <t>Larnaud, Santiago</t>
  </si>
  <si>
    <t>Santiago Larnaud</t>
  </si>
  <si>
    <t>…e infantería D. Martin Merino, caballero de las Rea les y militares órdenes de S. Fernando y S. Hermenegildo, hizo presente al Rey nuestro Señor los particulares servicios con que D. Santiago Larnaud, vecino de Macón en Francia, contribuyó á mejorar la suerte de los prisio neros españoles que permanecieron en aquella ciudad, pidiendo á S, M. se dignase concederle la cruz de la Real y distinguida orden española de Car los ni; y S. M., que aprecia tanto la…</t>
  </si>
  <si>
    <t>Larragoiti</t>
  </si>
  <si>
    <t>…úndaro Febrero 26 de 1817.=; Manuel Bezanilla. = Sr. teniente coronel D. Antonio Larragoiti.” Ademas de los sugetos referidos que se han distinguido en ésta acción, re comienda el comandante Larragoiti á D. Francisco Magaña, que por olvido no se hallaba nombrado. Madrid 29 de Diciembre. ARTICULO DE OFICIO. El Excmo. Sr. primer Secretario de Estado y del Despacho ha recibido el siguiente oficio del cónsul de S. M. en Nueva-Orleans, y la gaceta extra ordinari…</t>
  </si>
  <si>
    <t>Larragoiti, Antonio</t>
  </si>
  <si>
    <t>Antonio Larragoiti</t>
  </si>
  <si>
    <t>…acontecimientos, por cuya razón parece que es falso cuanto se ha dicho.” ESPAÑA. México 2$ de Marzo. Continuación de los partes de Nueva-España, SALVATIERRA. El teniente coronel y comandante D. Antonio Larragoiti en oficio diri gido al Excmo. Sr. virey, con fecha de 2 de Marzo, remite el siguiente parte del teniente coronel D. Manuel Bezanilla. „Por los informes que anticipadamente di á vmd. relativos á la buena disposición observada en los habitantes de este pueblo h…</t>
  </si>
  <si>
    <t>…anilla y D. Manuel de la Llata comunicaron mis órdenes con prontitud y valor. „Dios guarde á vmd. muchos años. Yurirapúndaro Febrero 26 de 1817.=; Manuel Bezanilla. = Sr. teniente coronel D. Antonio Larragoiti.” Ademas de los sugetos referidos que se han distinguido en ésta acción, re comienda el comandante Larragoiti á D. Francisco Magaña, que por olvido no se hallaba nombrado. Madrid 29 de Diciembre. ARTICULO DE OFICIO. El Excmo. Sr. primer Secretario de Estado y…</t>
  </si>
  <si>
    <t>Larravide, Cárlos</t>
  </si>
  <si>
    <t>Cárlos Larravide</t>
  </si>
  <si>
    <t>…se D. Juan Diez, D. JosefGonzález, seminaristas, y D. Remigio García, natural de este sitio : en la segunda D. Josef Tejada , natural de Madrid, D, Eladio Ra mos , seminarista , y D. Cárlos Larravide, de este sitio: en la tercera los se minaristas D. Juan Sánchez Rubio, D. Ramón Pintor y D. Policarpo Gon zález, á quienes distribuyó las medallas el Rmo. prior, tocando entre tanto una orquesta ,que hizo mas plausible y brillante el acto, al que se dio fin p…</t>
  </si>
  <si>
    <t>Larreta, Niceto</t>
  </si>
  <si>
    <t>Niceto Larreta</t>
  </si>
  <si>
    <t>…aleza. De Real orden lo aviso á V. para su conocimiento y efectos correspondientes. Dios guarde á V. muchos años. Palacio 25 de Marzo de 1817. En atención al mérito y servicios de D. Niceto Larreta, intendente de egército y de la provincia de Avila, ha tenido á bien el Rey nuestro Señor conferirle la intendencia de egército de Extremadura. El dia 10 del corriente á las n de la mañana abrirá en el Real jardín botánico de Madrid la enseñanza de botánica m…</t>
  </si>
  <si>
    <t>Larroque, Felipe</t>
  </si>
  <si>
    <t>Felipe Larroque</t>
  </si>
  <si>
    <t>…o principal, le emprendí inmediata mente , en lo que ocupamos medio dia cegando fosos y quitando estorbos. Luego que pasó la mayor parte mandé al capitán de granaderos de Castilla D. Felipe Larroque con una sección por el camino de Huatusco para atacar y entretener á los que suponía habría en dicho pueblo; pero lo halló desier to, y solo consiguió coger á cuatro prisioneros, con uno que se decía tenien te coronel y 20 caballos. A poco rato seguí con el r…</t>
  </si>
  <si>
    <t>Larrumbide, Josef Antonio de</t>
  </si>
  <si>
    <t>Josef Antonio de Larrumbide</t>
  </si>
  <si>
    <t>…ba evangélicamente á los beneméritos á que no se envaneciesen ni despreciasen á los otros, estimulando á estos santamente á aventajar en adelante á aquellos. Madrid 27 de Octubre. D. Josef Antonio de Larrumbide, ministro del Consejo Real, y regidor perpetuo de la ciudad de Valencia, ha tenido la honra de felicitar á S. M. á nombre de la misma en los términos siguientes: „Señor: La ciudad de Valencia, que siempre se ha distinguido por su res petuoso y tierno amor á V…</t>
  </si>
  <si>
    <t>…en Palacio á 28 de Noviembre de 1817. YO EL REY. = Yo D Juan Ignacio de Ayestarán , secretario del Rey nues tro Señor, la hice escribir por su mandado.rrEl duque del Infantado. = Don Josef Antonio de Larrumbide. = D. Juan Benito Hermosi!la. = D. Manuel de Torres. = D. Felipe de Sobrado. = Registrada Aquilino Escudero.^Tenien te de canciller mayor , Aquilino Escudero.. En oficio de 12 de Setiembre último participa al Excnlo. Sr. Secretarlo del despacho de Marina desd…</t>
  </si>
  <si>
    <t>Las-Cases</t>
  </si>
  <si>
    <t>…chos que se pagaban todavía sobre la exportación de una provincia á otra de muchos géneros y objetos de primera necesidad. GRAN BRETAÑA. Portsinoitfh -i 2 de Marzo. Se sabe que el conde Las-Cases, uno de los mas adictos á Bonaparte, y</t>
  </si>
  <si>
    <t>Lavalete, Francisco</t>
  </si>
  <si>
    <t>Francisco Lavalete</t>
  </si>
  <si>
    <t>…sar la mano áSS. MM. y AA. los profesores de la academia y la compañía de caballeros cadetes con sus oficiales á la cabeza, y al llegar aquellos arengó el brigadier de la compañía D. Francisco Lavalete, felicitando reverentemente á S. M. por el admirable encadenamiento de sucesos que proporcionaba la dicha de disfrutar de su augusta y amable presencia, la de la Reina nuestra Señora y Sermos. Seño res Infantes, tributando al Rey nuestro Señor el homenage de…</t>
  </si>
  <si>
    <t>Lavedan, Antonio</t>
  </si>
  <si>
    <t>Antonio Lavedan</t>
  </si>
  <si>
    <t>…onocer y curar las calenturas, dados á luz en latín por Maximiliano Stoll, catedrático de medicina clínica en el hospital de Vietia: tra ducido libremente al castellano por el Dr. D. Antonio Lavedan , cirujano de cáma ra de S. M. Católica, alcalde examinador perpetuo de cirugía &amp;c. Se hallará en la librería de la viuda de Ulescas, calle ancha de Majaderitos: un tomo en 4.0 á 24 rs. en pasta y 20 en rústica. Método para vivir con mucho fruto del alma v ag…</t>
  </si>
  <si>
    <t>…por Josef Quarin, dividido en tres partesnla,primerá.,trata.de.'Calentu.ras en común: la segunda de inflamaciones, y la tercera de varias enfermedades: traducido al castellano por D. Antonio Lavedan*, segunda edición: up .tomo en 4.°!!:Tratado de los usos, abusos, propiedades y virtudes del tabaco,' café, te y chocolate, extractado de los mejores autores que han tratado sobre esta materia, á fin de que su uso no perjudiqueá la salud , antes bien pueda se…</t>
  </si>
  <si>
    <t>…berán observar los cónsules marítimos para librar de todo contagio los puertos que tienen á su cargo: traducido y recopilado de los profesores mas acreditados de Europa por el Dr. D. Antonio Lavedan, profesor de medicina, y cirujano de cámara de S. M. Católica, é individuo de la junta su perior gubernativa de cirugía. Se hallará en el despacho de la imprenta Real: dos tomos en 4.0 Arte de cazar, ó cazador instruido y experimentado con escopeta y perros á…</t>
  </si>
  <si>
    <t>…otánico Buillard , con un apéndice de indagaciones patológicas, anatómicas y judiciales sobre las señales del envenenamiento: traducido del francés de la última edición por el Dr. D. Antonio Lavedan, profesor de medicina, y ciru jano de cámara de S. M. Se hallará á 24 rs. en pasta en la librería de la viuda de Illescas, calle ancha de Majaderitos, juntamente con los aforismos de medicina de Bocrhaave por Maximiliano Stoll, traducidos del latín por el mis…</t>
  </si>
  <si>
    <t>Layard, John Tomas</t>
  </si>
  <si>
    <t>John Tomas Layard</t>
  </si>
  <si>
    <t>1290</t>
  </si>
  <si>
    <t>…las fuerzas de S. M. en el Mediterráneo, y en virtud de autori zación de S. A. R. el Príncipe Regente, á nombre y representación de S. M., de cuya comisión era presidente el mayor general John Tomas Layard, fue juzgado el soldado Owen Vernon, del regimiento 31.°, por homicidio3 í causa de haber tirado un fusilazo hallándose de centinela en la noche del 20 de este mes, de cuyas resultas mató al alférez Gaspin Capaccio, comandante de la lancha cañonera núm. 64 al…</t>
  </si>
  <si>
    <t>Leal, Alfonso</t>
  </si>
  <si>
    <t>Alfonso Leal</t>
  </si>
  <si>
    <t>…al efecto, y de orden del Excmo. Sr. capítan general de esta provincia de Castilla la Nueva, se presentarán á cualquiera hora en la casa habitación del tenien te coronel graduado D. Alfonso Leal, fiscal del consejo de oficiales generales de la misma. No habiendo sido posible encontrar á D. Cristóbal Ruíz de Alarcon, persona hacendada, y residente en esta corte antes de esta última revolución, para comuni carle asuntos interesantes á su favor, se supl…</t>
  </si>
  <si>
    <t>Lebrón, Mariano</t>
  </si>
  <si>
    <t>Mariano Lebrón</t>
  </si>
  <si>
    <t>…o y el segundo D. Galo Barbería, habiéndose acercado á merecerlos Lino Salcedo, Cosme Juan Torena, D. Xavier ZaroAntonio Blunza y Josef Brunza. En aritmética ganó el primer premio D. Mariano Lebrón y el segundo Celedonio Bayen; y fueron declarados meritorios Jorge Cartier y Martin Vidarte. En ortografía obtuvo el primer premio D. Próspero Barricarte y el segundo Pedro Luis Campano. En lectura mereció el primer premio Xavier Moreno y el segun do Bavil Pe…</t>
  </si>
  <si>
    <t>Leceni, Juliana</t>
  </si>
  <si>
    <t>Juliana Leceni</t>
  </si>
  <si>
    <t>…io en la forma ordinaria. Por el juzgado del Sr. D. Joaquín Almazan, teniente corregidor de esta villa, y escribanía de D. Vicente de la Costa, se han formado autos á instancia de Doña Juliana Leceni, viuda de D. Vicente Gómez, y de su hijo D. Juan, reclamando 14 vales de 150 pesos, y uno de 300 de las creaciones de i.° de Setiembre de 1808, y nueve de ellos renovados en Sevilla en i.° de Setiembre de 809 , los cua les se retuvieron en esta corte en la of…</t>
  </si>
  <si>
    <t>Ledesma, Lorenzo Carballo de</t>
  </si>
  <si>
    <t>Lorenzo Carballo de Ledesma</t>
  </si>
  <si>
    <t>…naya, Doña Clara Ambite, Juan Antonio Morera, D. Josef Sala y Cam, D. Ig nacio de Arellana, D. Francisco Bolart y Goma, D. Josef Bruquera y Castell, Don Francisco Argel é hijos, y D. Lorenzo Carballo de Ledesma, para que en el preciso y perentorio término de 30 dias, contados desde la publicación de este aviso, com parezcan por sí ó por procurador con poder bastante al referido juzgado y citada escribanía í deducir el derecho con que se crean asistidos á los enuncia…</t>
  </si>
  <si>
    <t>Ledesma, Manuel de</t>
  </si>
  <si>
    <t>Manuel de Ledesma</t>
  </si>
  <si>
    <t>…l y escribanía de cámara del cargo de D. Valentín de Pinilla, sobre entrega de 68 vales Reales dinero que dejaron interinamente en poder de Gorvea D. Ber nardo Joaquín del Valle y D. Manuel de Ledesma, director y diputado que fueron de la Real compañía de ganaderos de las provincias de Soria y Burgos; se ha man dado citar y emplazar, como por la presente se cita y emplaza, á los que sean in teresados en el asunto, para que en el preciso término de 30 días,…</t>
  </si>
  <si>
    <t>Leo</t>
  </si>
  <si>
    <t>…andez y Collada, D. Miguel González___ Los examinadores, admirados de los adelantamientos que en el corto tiempo que llevan de enseñanza manifestaron D. Eusebio Tarancon y Alique, D. Leo nardo Moreno, D. Josef Benito Priego y D. Manuel Castellanos, los cuatro de la primera clase, ofrecieron para ellos un premio separado. Madrid i.° de Enero. El día 3 de Diciembre tuvo la honra de felicitar á S. M. á nombre del ayuntamiento de la ciudad de Hue…</t>
  </si>
  <si>
    <t>Leocadia</t>
  </si>
  <si>
    <t>…municar noticias interesantes, y aun entregar algunos marave dises por fallecimiento de Ambrosio Mayoral, vecino que fue de Casarubíos dci‘ Monte, á D. Josef Monsonis, ó á su hija Doña Leocadia, ó á quienes les represen ten; y no sabiendo de su existencia y paradero, se da este aviso á fin de qua en el; término de un año, que por último se les señala, comparezcan por sí ó por medio de apoderado ante Casimiro Gómez y Ramón González, vecinos de dicha…</t>
  </si>
  <si>
    <t>León</t>
  </si>
  <si>
    <t>…tasada en la cantidad de 106248 rs. sin otra carga que la del alumbrado. Quien quisiere hacer postura acuda dentro del término de 30 dias, por que se ha mandado publicar, ante el Sr. D. León de la Cámara Cano, del Consejo de S. M. en el supremo de Hacienda, teniente corregidor y corregidor interino de esta muy heroica villa, y por la escribanía del níimero del cargo de D. Pascual Se co, que se admitirán las que se hicieren siendo arregladas. Obse…</t>
  </si>
  <si>
    <t>…ionado señor juez por la escribanía del número de D. Juan Antonio de Urraza, que se admitirán las que hicieren siendo arregladas , y se manifestarán los títulos de pertenencia. El Sr. D. León de la Cámara Cano, del Consejo de S. M. en el supremo de Ha cienda, teniente primero de corregidor de esta villa, ha señalado para celebrar jun ta de acreedores á la testamentaría del limo. Sr. marques de la Hinojosa el dia 30 del corriente á las nueve en pun…</t>
  </si>
  <si>
    <t>…ueda llegar á ser de la mayor importancia, y de una utilidad recíproca para los vecinos y concurrentes. Habiéndose verificado en la tarde del día 15 del corriente, á presencia del Sr. D. León de la Cámara Cano, del Consejo de S. M. en el supremo de Hacienda, primer teniente y corregidor interino de esta muv heroica villa de Madrid, el sorteo de la rifa que con Real permiso se ha hecho de la cama y</t>
  </si>
  <si>
    <t>…para que dentro del preciso y último término de 30 dias, contados desde el 22 del corriente, acudan á usar de sus acciones en el juicio de dicha testamentaría, pen diente ante el Sr. D. León de la Cámara Cano, del Consejo de S. M. en el supremo de Hacienda, y teniente corregidor de esta villa, por la escribanía de su número que egerce D. Juan Raya; apercibidos que pasado, sin mas citación ni emplazamiento en su ausencia y rebeldía, se procederá á…</t>
  </si>
  <si>
    <t>…rdaropa, y por los mismos motivos mereció el que seis Reales socieda des económicas le hayan condecorado con los nombramientos de socio de mérito. En virtud de providencia del Sr, D. León de la Cámara Cano, del Consejo de S. M. en el supremo de Hacienda, corregidor interino, y primer teniente corregidor de esta villa, se ha mandado sacar á pública subasta por término de 30 dias, conta dos desde i3 del que rige, una casa en esta corte calle del…</t>
  </si>
  <si>
    <t>143 Por providencia del Sr. D. León de la Cámara Cano, del Consejo de S. M. en el supremo de Hacienda, teniente primero de corregidor de esta corte, y por la es cribanía de número y ayuntamiento del cargo de D. Santiago de Estepar, á ins tancia del R. P. prior del convento de S. Felipe el Real,…</t>
  </si>
  <si>
    <t>…illa el dia 21 de Enero último; y no satisfecha su Real piedad con haber dispensado los mas cristianos y paternales consuelos á los infelices reos, previno al corregidor in terino D. León de la Cámara Cano que le expusiese á la mayor brevedad el estado de sus causas. Este magistrado lo egecutó asi; y en consecuencia se ha servido mandar S. M. por resolución de 5 del corriente, escrita de su Real mano, que ade mas de los cuatro individuos á qui…</t>
  </si>
  <si>
    <t>…ancelándose las que se hubie sen dado, y parándoles esto y cuanto se actúe y resuelva el mismo perjuicio que si fuese con su intervención y audiencia. En virtud de providencia del Sr. D. León de la Cámara Cano, del Consejo de S. M., teniente corregidor de esta heroica villa, y por la escribanía de D. Santiago de Estepar, se venden las fincas siguientes.__;-En el Real sitio de S. Lorenzo una ca sa sita en la calle del Rey, rnanz. 56, con 6655 pies…</t>
  </si>
  <si>
    <t>…esados á la testamentaría de Doña María Encar nación Nestares y Chapín, viuda que fue de D. Francisco Herrera, para que con curran á la junta que ha de celebrarse en la posada del Sr. D. León de la Cámara Cano, del Consejo de S¿ M., teniente corregidor, y corregidor interino de esta vi lla, en el dia 28 de este mes á las nueve. La plaza de maestro de primeras letras del lugar de Fuenlabrada , distante de Madrid tres leguas, está vacante: vale con…</t>
  </si>
  <si>
    <t>…nstruc ción mencionada, y que vencerá con su constancia y eficacia cuantos obstá culos se ofrezcan. Dios guarde á V. muchos anos. Madrid 17 de Febrero de 1817. Por providencia del Sr. D. León de la Cámara Cano, del Consejo de S. M. en el Supremo de Hacienda, teniente corregidor, y corregidor interino de esta muy heroica villa, refrendada de D. Pascual Seco, escribano del número de la misma, se ha señalado para el remate de una casa, sita en esta c…</t>
  </si>
  <si>
    <t>…ntendido, y dispondréis lo conveniente á su cumplimien to. = Rubricado de la ReaL mano.= Palacio 24 de Febrero de. 1817. = A Don Martin de Garay.” En el juzgado que hoy regenta el Sr. D. León de la Cámara Cano, del Consejo de Si M., teniente primero, y corregidor interino de esta villa, se hallan pendien tes los autos de concurso ó dimisión de bienes que hizo Carlos Josef Lortnzini, de.</t>
  </si>
  <si>
    <t>…mente el des pacho de los billetes que aun no le hubiesen tenido. Madrid 28 de Febrero de 1817. = Francisco González de Estéfani. = Josef de Boulígny. En virtud de providencia del Sr. D. León de la Cámara Cano, del Consejo de S. M., teniente corregidor de esta heroica villa, y por la escribanía de D. Santiago de Estepar, se venden las fincas siguientes. — En el Real sitio del Escorial una ca sa sita en la calle del Rey, manz. 56, con 6655 pies de…</t>
  </si>
  <si>
    <t>En virtud de providencia deí Sr. D. León de la Cámara Cano, teniente corre gidor, corregidor interino de esta villa, se cita, llama y emplaza á los acreedores é interesados en ei concurso de Miguel Casado, difunto, vecino que fue del lugar de Vallecas, pendiente por la escribanía del número del seño…</t>
  </si>
  <si>
    <t>…n el suficiente poder á legitimar sus derechos; con apercibimiento que pa sado dicho término sin haberlo hecho les parará el perjuicio que haya lugar. En virtud de providencia del Sr. D. León de la Cámara Cano, del Consejo de S. M., teniente corregidor, y corregidor interino de esta villa de Madrid, se cita, llama y emplaza á D. Antonio Alvarez, cuyo domicilio se ignora, como último tenedor de seis vales Reales de 150 pesos, creación de Enero de 1…</t>
  </si>
  <si>
    <t>…resuelto imponer por ahora solamente un real por ciento por razón de alcabalas y cientos de las ventas que se hagan y causen en dicho dia de mercado. En virtud de providencia del Sr. D. León de la Cámara C;no, del Consejo de S. M.. corregidor interino de esta villa, se cita, llama y emplaza al dueño ó due ños del solar sito *n la calle de Belen y jesús María, barrios del Barquillo, núme-</t>
  </si>
  <si>
    <t>…primeramente en 25639, y ahora en 18826; y otra en la referida calle del Barquillo, con 32 £&gt;§ pies, antes en 1100 rs., y ahora en 890. Quien quisiere hacer postura acuda ante el Sr. D. León de la Cámara Cano, del Consejo de $. M. en el supremo de Hacienda, teniente corregidor de esta villa, por la escribanía de su número que egerce D. Jfian Raya. La escribanía de número y ayuntamiento de la villa de Humane9 de Madrid, que antes correspondía su n…</t>
  </si>
  <si>
    <t>…l otro en el propio sitio que le divide del grande el brazo de la Cañada, que bajá de la Charquilia, con 18 fanegas, á 300 rs. cada una. Quien quisiere hacer postura acuda ante el Sr. D. León de la Camara Cano, de! Consejo de S. M. en el supremo de Hacienda, teniente corregidor de esta villa, por ia es cribanía de su número que egerce D. Juan Raya. Ei partido de médico de ia villa de Campo Real, provincia de Madrid, se ha lla vacante: tiene de dot…</t>
  </si>
  <si>
    <t>…memoria. En virtud de facultad Real se vende una casa sita en la calle de Embajadores, nútn. g, de la manz. 6it tasada en 87200 rs. vn. Quien quisiere hacer postura acu da ante el Sr. D. León de la Cámara Cano, del Consejo de S. M. en el Real y su premo de Hacienda, teniente corregidor, y corregidor interino de esta heroica villa, por la escribanía de su número que egerce D. Juan Raya dentro del término de 30 días. A voluntad de su dueño , y en vi…</t>
  </si>
  <si>
    <t>…hacer postura á ellos lo egecutarán dentro del indicado término ante dicho señor, y por la indicada escribanía, en donde se instruirá de las cargas con que se hallan gravados. El Sr. D. León de la Cámara Cano, del Consejo de S. M., teniente primero de corregidor de esta villa, ha señalado para la celebración de una junta de acreedores de D, Pedro García Olalla y su muger Doña Lucía López a los de la testamen taría de D. Josef Sánchez Riscos el di…</t>
  </si>
  <si>
    <t>…650 rs., las que se hallan rematadas en la cantidad de 11400 rs. vn. metálicos; y se ha señalado para su rema te el dia 12 del corriente á las 12 de su mañana en la audiencia del Sr. D. León de la Cámara Cano, del Consejo de S. M., teniente primero de corregidor de esta vi lla. Quien quisiere hacer mejora acuda ante dicho señor juez, y escribanía del nú mero de D. Antonio López de Salazar. Por auto proveído por el Sr. D. León de la Cámara Cano, d…</t>
  </si>
  <si>
    <t>…siere hacer postura ó mejora á dichas casas acuda en término de go dias, contados desdi 14 del corriente, á la escribanía del número de cargo de D. Francisco Alcázar. Por auto del Sr. D. León de la Cámara Cano, del Consejo de S. M., teniente corregidor de esta villa, por la escribanía de número de D. Santiago de Estepar , s.e ha señalado para el dia martes g de Junio próximo, á las 12 de su mañana el re mate de las fincas que antes se han subastad…</t>
  </si>
  <si>
    <t>…uisitos, y pasado dicho término, no serán admitidos. Dado en Madrid á 20 de Mayo de 1817.= Por acuerdo de ia Real junta, Manuel de Granda y Ribero, secretario. Por providencia del Sr. D. León de la Cámara Cano, corregidor interino de es ta corte, se ha mandado sacar nuevamente á públicá subasta por término de 30 dias un corral sito extramuros del portillo de Embajadores de esta corte, á la mano iz*quierda del camino que se dirige al puente de Tole…</t>
  </si>
  <si>
    <t>5*$4 En virtud da providencia del Sr- D. León de la Cámara Cano, del Consejo de S. M., teniente primero de corregidor, y corregidor de esta villa, se saca á pública subasta por término de 30 dias la casa parador sita e*n el lugar de Fuencarral, el que tiene de sitio 23242 pies cuadrados superficiales, y…</t>
  </si>
  <si>
    <t>…érminos á deducir el derecho que contemplen tener en la precitada testamentaría; con apercibimiento de que en su defecto les parará el per juicio que haya lugar. En el juzgado del Sr. D. León de la Cámara Cano, y escribanía del número de D. Miguel Gonzalo, pende reclamación de D. Bernardo Eíejaga, vecino de Bilbao, sobre que se declaren de su pertenencia seis vales Reales de la creación de i.° de Setiembre de 1808, uno de 600 pesos, núm. 15682; ot…</t>
  </si>
  <si>
    <t>…que exige; y dándome por decontado aviso del recibo de esta para trasladarlo á su noticia. Dios guarde á V. S. muchos años. Madrid 9 de Junio de 1817. En virtud de providencia del Sr. D. León de la Cámara Cano, del Consejo de S. M., su ministro honorario en el Real y supremo de Hacienda, teniente corregi dor, corregidor interino de esta muy heroica villa de Madrid, se cita á todos los acreedores de la compañía de. longistas de esta corte para junt…</t>
  </si>
  <si>
    <t>…nación Nestares y Chapín, muger que fue de D. Francisco Herrera, para que concurran á la junta que ha de celebrarse el dia 28 de este mes á las ocho de su ma ñana en la posada del Sr. D. León de la Cámara Cano, del Consejo de S. M. en el supremo de Hacienda, teniente primero corregidor de est3 muy heroica villa. Se halla vacante la plaza de médico titular de la villa de Aranda de Duero, cu ya dotación son 8© rs. anuales, pagados puntualmente y por…</t>
  </si>
  <si>
    <t>Leon</t>
  </si>
  <si>
    <t>…curtidos que tiene establecida en dicha ciudad. - No habiendo concurrido todos los acreedores al concurso de D. Tiburcio Alfare en junta que celebraron el 13 del corriente ante el Sr. D. Leon de la Cámara la Cano, del Consejo de S. M. en el supremo dI! IIacienda, primer teniente corregi. dor, y corregidor interino de esta villa, se señaló otra para el día 4 d~ Julia próximo á las ccho en pun tu d\! su lnañana en la posada de S. S.; con apercibimi…</t>
  </si>
  <si>
    <t>…egacion que se halla á cargo de D. Damian Celestino de Vega, calle de Jas Urosas, núm. 8, cuar to principal, en la que se admitirán siendo arregladas. En virtud de providencia del Sr. D. León de la Cámara Cano, del Consejo de S. M. en el supremo de Hacienda, teniente primero de corregidor, y corregidor interino de esta muy heroica villa, refrendada de D. Pascual Seco, se ha señalado para el remate de una casa sita en la calle de Santiago el Verde…</t>
  </si>
  <si>
    <t>…ciernen las órdenes que se insertan. Se hallará este tomo con los anteriores en el referido despacho á 20 rs. en papel, 21 á la rústica y 26 en pasta. En virtud de providencia del Sr. D. León de la Cámara Cano, del Consejo de S. M. en el supremo de Hacienda, teniente primero de corregidor, y corregidor in terino de esta muy heroica villa, refrendada de D. Pascual Seco, escribano del nú mero de ella, se ha señalado para el remate de un corral site…</t>
  </si>
  <si>
    <t>…a-villa, si se hiciese mejora, para lo cual el que quisiere hacerla acudirá á dicho Sr. juez, por la escribanía del núme ro de D. Cristóbal de Vicuña. Eu virtud de providencia del Sr. D. León de la Cámara Cano, del Consejo de S. M. , su ministro honorario dei Real y supremo de Hacienda, teniente corregidor, corregidor interino de esta villa, se cita á junta general que ha de celebrarse el sába do 9 de Agosto próximo á las ocho de la mañana en la p…</t>
  </si>
  <si>
    <t>…e 30 dias, contados desde el 18 del pasado, al refe rido juzgado y escribanía; entendidos de que no haciéndolo les parará el perjuicio que haya lugar. En virtud de providencia del Sr. D. León de la Cámara Cano, del Consejo de S, M., primer teniente corregidor de esta villa, y su corregidor interino, se cita* llama y emplaza á los hijos, herederos y cualesquiera, otras personas que tuviesen derecho á los bienes de D. Bernardo Ascanio, difunto, veci…</t>
  </si>
  <si>
    <t>…sobre el modo de servirse de ellos. (*) Esta concentración consiste en añadir nueve veces su peso de agua desti lada al ácido sulfúrico de 66 grados. En virtud de providencia del Sr. D. León de la Cámara Cano, corregidor inte rino de esta corte, se cita á junta general, que ha de celebrarse el 6 de Setiembre próximo á las nueve de U mañana en la posada de S. S., á todos los acreedores de</t>
  </si>
  <si>
    <t>…de Hbrtaleza, núm. 3 , manz. 304, que tiene de sitio 1711pies superficiales, tasada en la cantidad de 71073 rs. Quien quisie re hacer postura acuda dentro de dicho término ante el Sr. D. León de la Cámara Cano, del Consejo de S. M. en el supremo de Hacienda, teniente primero de cor regidor , y corregidor interino de esta muy heroica villa, y por la escribanía del nú mero de la misma del cargo de D. Pascual Seco, que se admitirán las que se hicie r…</t>
  </si>
  <si>
    <t>…el Rincón, donde se les manifestará, y admitirán sus posturas siendo arregladas. En junta de acreedores al concurso de D. Francisco Santana, celebrada el dia 17 del pasado ante el Sr. D. León de la Cámara Cano , del Consejo de S. M. en el su premo de Hacienda, teniente primero de corregidor, y corregidor interino de esta muy heroica villa, juez de él, se ha acordado entre otras cosas que los interesados en el expresado concurso se presenten para J…</t>
  </si>
  <si>
    <t>…. en el despacho de la imprenta Real. Se suscribe en dicho despacho, y en las provincias en todas las ad ministraciones principales y agregadas de correos. Por providencia del Sr* D. León de la Cámara Cano, primer teniente corregi dor de esta corte, se cita y emplaza á los últimos tenedores de los 12 vales Reales, cuyas creaciones, números y nombres son los siguientes: de 300 pesos de i.° de Setiembre de 1807, núms. 17340, 20398 y 20776 D. Ped…</t>
  </si>
  <si>
    <t>…s en la ciudad de Ecija, que se anunciaron muy individualmente en el diario de Madrid del martes 10 de Junio de este año, y se venden con facultad Real á virtud de providencia del Sr. D. León de la Cámara Cano, hoy fiscal dei supremo Consejo del Almirantazgo, por la escribanía de número de D. Claudio Sanz; se han de rematar en el mejor postor ó postores los dias 20, 21, 22 y 23 del corriente de 11 á una de sus respectivas mañanas á las puertas de…</t>
  </si>
  <si>
    <t>…Oromí, á D. Pedro Antonio de Arroquia, oidor de la de Cataluña: para la vara de alcalde mayor teniente de corregidor mas moderno de esta muy heroica villa, vacante por ascenso de D. León de la Cámara Cano á la fiscalía del Almirantazgo , á D. Angel Fernandez de los Ríos : para el corregimiento de letras de la ciudad de Palencia, vacante por muerte de D. Manuel de Villapadierna, á D. Agustín Tosantos y Laprada, corregidor de la ciudad de Guadi…</t>
  </si>
  <si>
    <t>León, Diego Crespo de</t>
  </si>
  <si>
    <t>Diego Crespo de León</t>
  </si>
  <si>
    <t>I2g9 coronel retirado D. Vicente Gómez González deMedránó: para ladeHaro á D.Domingo de S. Martin: para la de la Rambla á D. Diego Crespo de León, alcalde mayor que era de las nuevas poblaciones de Sierramorena: para la de Altnendralejo á D. Francisco de Paula Díaz Recio, corregidor que era dé Estepona: para la de Autol, de nueva creación, á D. Juan Sahagun Vicente: para la de S. Lorenzo de la Parrilla…</t>
  </si>
  <si>
    <t>León, Francisco</t>
  </si>
  <si>
    <t>Francisco León</t>
  </si>
  <si>
    <t>….................. ... 21. ... 3* * • • 66* • • * I • ... 3. \ nota. Los oficiales muertos son el capitán del regimiento de Barbastro D. Andrés Pinillos y el subteniente del mismo D. Francisco León; y los heridos el teniente de granaderos D. Juan Calvet y el ayudante de dra gones de la Union D. Antonio Alburquerque, y el del Rey de infantería el teniente Juan Josef Nieves. Cuartel general de Nueva-Barcelona Abril 8 de i8i7.= Gefe de estado mayor interin…</t>
  </si>
  <si>
    <t>León, Juan Josef de</t>
  </si>
  <si>
    <t>Juan Josef de León</t>
  </si>
  <si>
    <t>…fantería de Valencia. También se ha servido S. M. conceder en América la tenencia de Rey de la plaza de Campeche, con el carácter de cabo subalterno de la provin cia de Yucatán, á D. Juan Josef de León, coronel del Real cuerpo de In genieros. Finalmente ha tenido á bien S. M. conferir la plaza de fiscal togado del Consejo supremo de la Guerra á D. Josef Aznarez, fiscal del juzgado de las tropas de casa ReaL El día primero de Setiembre á las cuatro de la tar…</t>
  </si>
  <si>
    <t>León, Manuel Perez de</t>
  </si>
  <si>
    <t>Manuel Perez de León</t>
  </si>
  <si>
    <t>…poniente al teniente D. Manuel de Ja Llata con D. Manuel y D. Miguel Vázquez, 10 de los realistas de estos y 5 dragones del Príncipe, y por el nordeste al portaguión del Príncipe D. Manuel Perez de León con 6 dragones de su cuerpo. Estas partidas, que obraron con decidido valor, evitaron el incendio y robo, consiguiendo apagar muchas casas de las que ya ardían , custodiando sus familias y á este convento, arrollando á los rebeldes, causándoles algún daño, y…</t>
  </si>
  <si>
    <t>León, Pedro</t>
  </si>
  <si>
    <t>Pedro León</t>
  </si>
  <si>
    <t>…acrampa, segundo ayudante de la misma: la de Sta. Cruz de Tenerife, en Canarias, á D. Santiago Calzadilla, subtenien te agregado á su estado mayor; y la de la Puebla de Sanabria á D. Pedro León, subteniente del regimiento infantería de Mallorca. En América. La subinspeccion general de las tropas de Gcatemala al brigadier D. Juan Josef Oíazabal: la comandancia del castillo de Jagua , de pendiente de la plaza de la Havana , á D. Joaquin Hurruitiner, c…</t>
  </si>
  <si>
    <t>Leonor</t>
  </si>
  <si>
    <t>…gado (abolido por decreto de las llamadas cortes ex traordinarias de 12 de Diciembre de 1813) , fundado en la concordia de il de Julio de 1372 , celebrada entre la Reina de Aragón Doña Leonor y el cardenal de Cotnenge, nuncio de S. S. en estos mis reinos , y en mi Real cedula de 25 de Junio de 1814, por la que decreté la reposición de tnis audien cias y tribunales territoriales al pie y estado que tenían en el año de 1808. La citada representación…</t>
  </si>
  <si>
    <t>Lerena, Sebastian de</t>
  </si>
  <si>
    <t>Sebastian de Lerena</t>
  </si>
  <si>
    <t>…S. M.; y su despacho será en esta corte en las librerías de Villa, plazuela de Sto. Domingo; de Dávila, calle de las Carretas; de Brun, frente las Co vachuelas, y en la tienda de D. Sebastian de Lerena, calle de Toledo , nú mero 3 *. en Aranjuez en el estanco de tabacos del mismo á cargo de Don Valentín López, calle del Gobernador; lo que se anuncia al público para su noticia.</t>
  </si>
  <si>
    <t>Lesea, Elena de Ochoa y</t>
  </si>
  <si>
    <t>Elena de Ochoa y Lesea</t>
  </si>
  <si>
    <t>…les seguirá el perjuicio que hubiere lugar. Habiendo recaído en la santa casa hospital de la Misericordia de Sevilla, como pairona administradora del patronato fundado por la Sra. Doña Elena de Ochoa y Lesea , condesa que fue de Lebrija, el título de Castilla de esta denominación , de que fue ultima poseedora la Sra. Doña Rafaela Ortíz de Züñiga; y debiendo enagenarse , según lo prevenido por la fundación, para invertir su producto en los objetos piadosos que ord…</t>
  </si>
  <si>
    <t>Leslie</t>
  </si>
  <si>
    <t>…Correio de Asia, que había naufragado en las costas de la Nueva-Holanda. El Caledonia condujo á aquellos infelices á Macao, puerto adonde se dirigía la embarcación por tuguesa. El capitán Leslie, comandante del buque Persia, recien venido de Havra-de-Gracia en 58 dias, asegura que por reiteradas observaciones el gran banco de Terranova en la laudad de 43 grados y 18 minutos N. no tiene mas que dos grados de ancho en vez de cuatro , como esta demarcad…</t>
  </si>
  <si>
    <t>Lesseps</t>
  </si>
  <si>
    <t>…un firman del Gran Señor que autoriza este establecimiento. El tiempo lluvioso nos promete que podemos esperar buena cosecha de todo género de frutos. Idem 2/. Ha llegado aquí el caballero Lesseps, encargado del Rey cerca del Em perador de Marruecos, para extraer una porción considerable de trigo de aquel imperio para Francia, á consecuencia del permiso concedido para ello por aquel Monarca africano. Paris 1,° de Junio. Ayer tarde llegó ¿ esta capital…</t>
  </si>
  <si>
    <t>Letona, Francisco de Eguia y</t>
  </si>
  <si>
    <t>Francisco de Eguia y Letona</t>
  </si>
  <si>
    <t>…cruz con que he premiado la lealtad y servicios de los capi tulares de su ayuntamiento.” El Rey nuestro Señor se ha dignado conferir la capitanía general de Cas tilla la N □eva al Sr. D. Francisco de Eguia y Letona, teniente general de ios Reales egércítos, y capitán general de Castilla la Vieja. Desde que se publicó el Real decreto de 13 de Mayo del año próximo pasado, excitando á promover en el reino las empresas de riegos con la es peranza de los premios que se ofrec…</t>
  </si>
  <si>
    <t>Li, Antonio</t>
  </si>
  <si>
    <t>Antonio Li</t>
  </si>
  <si>
    <t>…prontitud con que desempeñó sus órdenes el sar gento Columga. „Dios guarde áV. mochos años. Valladolid y Noviembre 21 de 1816.= Josef de Castro. = Sr. comandante general teniente coronel D. Antonio Li nares.” Parte del teniente D. Juan de Avila. „Luego que recibí la orden verbal que V. me comunicó á noche,dispu se mi salida á las 10 de ella con 90 caballos de los cuerpos de S. Carlos, Mon eada, realistas y rurales, dirigiéndome .por el guia que V. me dió á…</t>
  </si>
  <si>
    <t>Lima, Vicente Sánchez</t>
  </si>
  <si>
    <t>Vicente Sánchez Lima</t>
  </si>
  <si>
    <t>…y comandante en gefe'de la guardia nacional de París. ESPAÑA. Lima $ de Abril. JEgército expedicionario.__ Cuartel general de Cartagena de Indias G de Febrero de 18iG. El teniente coronel D. Vicente Sánchez Lima, capitán de húsares de Fernando vil, con fecha de 22 de Enero último, da parte desde Zaragoza de haberse puesto en movimiento sobre Remedios con su columna volante, compuesta de 100 hombres de Granada, Albuhera, Puerto-Rico y húsares desmontados, en persecuci…</t>
  </si>
  <si>
    <t>Liñan, Pascual de</t>
  </si>
  <si>
    <t>Pascual de Liñan</t>
  </si>
  <si>
    <t>…EL GOBIERNO DE MEXICO DEL 12 DE AGOSTO DE 1817. El Excmo. Sr. virey ha recibido los jpartes siguientes. i.° ,,Excmo. Sr.: El Sr. general en gefe de este egército mariscal de campo D. Pascual de Liñan, á las tres de la mañana de hoy desde el pie del cerro de Comanja, me ha encargado dé egecutivamente parte á V. E. de que en la tarde de ayer las tropas de Guadalajara, al mando del brigadier D. Pedro Celestino Negrete, se colocaron en un cerro al lado del S.…</t>
  </si>
  <si>
    <t>…djuntas remito á V» E. por cordillera violenta copias de las noticias que he adquirido de Guanajuato y Silao, por las que se impon drá V. E. de la situación del egército dei señor general D. Pascual de Liñan. „DÍos guarde á V. E. muchos años. Querétaro Agosto 10 de 1817.= Excmo. Sr. = Ignacio García Rebollo. = Excmo. Sr. virey D. Juan Ruiz de Apodaca.” Guanajuato 5 de Agosto. „ Sabemos de cierto que el fuerte de Comanja está cercado por nuestras divisiones hace c…</t>
  </si>
  <si>
    <t>…en el fuerte del Sombrero Agosto 20 de 1817. = Excmo. Sr. = Pascual de Liñan.= Excmo. Sr. virey D. Juan Ruiz de Apodaca.” ! S. E..espera el parte circunstanciado que ofrece dar el Sr. D. Pascual de Liñan de las acciones que hubo en el sitio y toma del referido fuerte del Som brero , para premiar en nombre del Rey nuestro Señor á los individuos que se hubieren distinguido en ellas. Circular de la Dirección general de Rentas, , Con fecha 9 del corriente nos dic…</t>
  </si>
  <si>
    <t>Linares, Antonio</t>
  </si>
  <si>
    <t>Antonio Linares</t>
  </si>
  <si>
    <t>…3, y acompaño su parte original. ,, Dios guarde á V. muchos años. Acambaro 4 de Noviembre de 1816.== Ramón Reguera. =Sr. comandante militar de la provincia de Valladolid, teniente coronel D. Antonio Linares.” Parte del alférez de navio, ,, Consecuente á la orden de V. salí el dia i.° del presente mes á las siete de la mañana con una partida de 40 infantes y 60 caballos á recorrer los pueblos de Sta. Ana, Maya y Cuiseo, é imponerles las contribuciones respectivas…</t>
  </si>
  <si>
    <t>…e general de esta sección.” El Excmo. Sr. virey ha mandado en consecuencia que se expidan á estos individuos las correspondientes cédulas de indulto. Partes del teniente coronel y comandante D. Antonio Linares. i.° ,,Exemo. Sr.: El 5 del corriente salí de esta ciudad con 300 caballos y 2.70 infantes (única fuerza que pude reunir) con el objeto de buscar en la vasta extensión de esta provincia las gavillas de los Rayones, Nuñiz, Sán chez, Huerta y otros, y aunque re…</t>
  </si>
  <si>
    <t>Linarte, Josef María</t>
  </si>
  <si>
    <t>Josef María Linarte</t>
  </si>
  <si>
    <t>…ropa de esta guarnición , solo me resta manifes tarle , en cumplimiento de mi deber y en obsequio de la justicia, el E ñor que caracteriza al capitán de húsares de este territorio D. Josef María Linarte , quien á todo riesgo y con la mayor oportunidad comunicó mis órdenes en todos los puntos, y el del subdelegado D. Ignacio Soüs , que con los pai sanos y peones de la fortificación trabajó con acierto y gusto en cuantas fagi nas se ofrecieron, por lo que no d…</t>
  </si>
  <si>
    <t>Lindres, Saturio</t>
  </si>
  <si>
    <t>Saturio Lindres</t>
  </si>
  <si>
    <t>…su examen con respecto al corto tiempo de estudio que ha tenido, le agraciaron con una caja de lapiceros : en la de mú sica instrumental ganaron D. Mariano Ruíz el primer premio, D. Saturio Lindres el segundo, y D. Pedro del Valle el tercero. A cada uno de los pre miados poso el corregidor una medalla de plata con su lema en el anverso alusivo á la atribución ú objeto del arte, yen el reverso las armas de la ciu dad , siendo los cuatro primeros premios…</t>
  </si>
  <si>
    <t>Lindsfeldt</t>
  </si>
  <si>
    <t>…s extrangeros. La misma orden prohíbe desde i.° de Octubre,bajo la multa de 10 escudos,á los compradores y ven dedores la venta y compra de café en las casas públicas. Idem 16. El teniente Lindsfeldt, que fue arrestado últimamente y llevado por se dicioso ante el tribunal criminal, se ha quitado la vida en la prisión. Su ca dáver ha estado manifiesto algún tiempo en una sala de la casa del ayunta miento para desvanecer el rumor que corría de que era supue…</t>
  </si>
  <si>
    <t>Liorza, Tadeo</t>
  </si>
  <si>
    <t>Tadeo Liorza</t>
  </si>
  <si>
    <t>…mbre de 1817. Por el presente se cita, llama y emplaza á los parientes y demas personas que se consideren con derecho á los bienes que han quedado por fallecimiento abintcstato de D. Tadeo Liorza, soltero, familiar que fue de la casa del Excmo. Sr. mar ques de Montealegre, conde de Oñate, natural de la villa de Azuelo, reino de Na varra, hijo de Jorge de Liorza y María de Mateo, difuntos, de la misma naturale za, para que dentro del preciso y perentor…</t>
  </si>
  <si>
    <t>Listón, Roberto</t>
  </si>
  <si>
    <t>Roberto Listón</t>
  </si>
  <si>
    <t>727</t>
  </si>
  <si>
    <t>…todo sosegado; pues la verdadera causa de los moti nes era la miseria, y esta se ha remediado ya en parte. FRANCIA. Marsella 14 de Junio. El 8 de este mes llegó aquí de Londres el caballero Roberto Listón, embajador extraordinario de S. M. Británica cerca de la sublime Puerta, y el 12 se embarcó á bordo de una fragata inglesa que con este objeto había venido de Malta algunos dias antes. Está haciendo cuarentena en esta rada una división anglo-americana com pue…</t>
  </si>
  <si>
    <t>Liverpool</t>
  </si>
  <si>
    <t>…á los que arresten ó hagan arrestar á estos malhechores. GRAN BRETAÑA. Londres 4; de Enero. Ayer se tuvo un consejo privado en Brighton, al que asistieron el duque de Clarence, el conde Liverpool , lord Castlereagh y otros ministros. Algu nos periódicos han publicado la noticia de que en este consejo propusieron los ministros que se prorogase otra vez el parlamentó, y que el Príncipe Regente se había negado á ello. Esta noticia es absolutamente falsa,…</t>
  </si>
  <si>
    <t>…se pedido nuevos billetes por valor de 5c© libras esterlinas. El resto de Jos antiguos billetes circula como anteriormente. Idem 11. En el diario de Dublin se dice que el ministro lord Liverpool ha mani festado la intención de sostener la pretensión de los católicos en la próxima sesión del parlamento. No sabemos sin embargo el motivo que haya movido á lord Liverpool para mudar de dictamen en este punto. Escriben de Dublin que de dia en dia se aument…</t>
  </si>
  <si>
    <t>Lla, Pedro Nolasco de</t>
  </si>
  <si>
    <t>Pedro Nolasco de Lla</t>
  </si>
  <si>
    <t>…tendidos por el Mtro. Antonio Gómez á las 83 leyes de Toro, en que con presencia c|e las notas de su adicionador queda com prendido todo lo sustancial de ello: escrito por el Lie. D. Pedro Nolasco de Lla no, abogado de la Real chancillería de Granada: un tomo en 4.0 Se hallará en la librería de Hurtado, calle de las Carretas, y en el puesto de Hermoso en dicha calle. EN LA IMPRENTA REAL.</t>
  </si>
  <si>
    <t>Llamas, Ramón</t>
  </si>
  <si>
    <t>Ramón Llamas</t>
  </si>
  <si>
    <t>…María del Valle, á quien acompañó mi ayudante el teniente D. Be nito Aguirre, y á su llegada al pueblo logró encontrar la guerrilla de Iz quierdo que allí entraba, mandada por el coronel Ramón Llamas; mató á este y á 5 de sus compañeros , é hizo 4 prisioneros, los que averiguada su con ducta , los dejé libres,á excepción de un capitán, que previas las disposiciones cristianas será pasado por las armas, habiéndoles quitado los fusiles y armas que llevaban.…</t>
  </si>
  <si>
    <t>Llano</t>
  </si>
  <si>
    <t>…alle de S. Andrés mientras que yo me aproximo á él ó á Huatmanla con una corta partida de caballería, que servirá para relevar dentro de tres ó cuatro dias los ico hom bres que el brigadier Llano le franqueó, con cuya operación volverán estos á su destino , y aquella sección trataré de hacerla permanecer en el mismo valle, como tan interesante á la total pacificación de los cortos puntos que por las cercanías de Orizava poseen los bandidos. De este re…</t>
  </si>
  <si>
    <t>Llano, Ciríaco de</t>
  </si>
  <si>
    <t>Ciríaco de Llano</t>
  </si>
  <si>
    <t>…ltenango Mayo 20 de 1Sr6.= Manuel de Ahedo.=Sr. D. Justo Pluídobro, capitán comandante de armas de Cuernavacas.” Idem j de Julio. EGERCITO DEL SUR. Parte del comandante general el brigadier D. Ciríaco de Llano. „ Excmo. Sr.: Paso á manos de V. E. para su superior conocimiento el oficio original que me ha remitido el subdelegado de Atligco, noticiándome la crueldad y barbarie que egecutaron los rebeldes la noche del 29 y dia 30 del próximo pasado con los gobernadore…</t>
  </si>
  <si>
    <t>…protección de tan angustiados pueblos. „Dios guarde á V. S. muchos años. Atlixco Mayo 31 de Francis co de 1 rasgallo. = Sr. brigadier y comandante general gobernador é inten dente D. Ciríaco de Llano.” 2.0 ,,A consecuencia de la orden de vmd. de anoche emprendí mi marcha en la madrugada de hoy con 20 infantes de Fernando vil, provincial, if realistas de la ciudad de Cholula, y 25 caballos del cuerpo de realis tas fieles guarda-campos al mando de su tenien…</t>
  </si>
  <si>
    <t>Llano, Ciriaco de</t>
  </si>
  <si>
    <t>Ciriaco de Llano</t>
  </si>
  <si>
    <t>…pagadores de la vacuna, pues de 626641 niños naci dos el año de 1815 en 72 departamentos se vacunaron 251116. ESPAÑA. México 6 de Julio. El comandante general del egército del Sur D. Ciriaco de Llano ha diri gido al Excmo. Sr. virey el parte siguiente:</t>
  </si>
  <si>
    <t>…munes. Los ministros tuvieron una mayo ría de 195 votos contra 65. Los debates duraron hasta las tres de la mañana. ESPAÑA. México 8 de Febrero. El comandante del egérclto del Sur D. Ciríaco de Llano ha dirigido al Excmo. Sr. virey los siguientes partes: i.° Excmo. Sr.: Original acompaño á V. E. para su superior conoci miento el parte que me remite desde Piastla el teniente coronel D. Saturnino Samaniego, relativo á los movimientos que de su orden hizo so…</t>
  </si>
  <si>
    <t>…, y sí de aumentar su reunión en favor de los rebeldes. Dios guarde á V. S. muchos años. Piastla i.° de Febrero de 1817. = Sa turnino Samaniego. = Sr. general en gefe del egército D. Ciríaco de Llano. P. D. Incluyo á V. S. el adjunto que he recibido hoy del comandante militar de Oajaca. 2.0 Excmo. Sr.: El teniente coronel D. Saturnino Samaniego me remite el parte que original acompaño á V. E. para su superior conocimiento, y es contraído á la fuga de los…</t>
  </si>
  <si>
    <t>…sorpresa la noche de antes de ayer con la compañía de cazadores y cuarta de su batallón, 150 caballos déla línea avanzada de mi división, y 100 hombres mas que envió á Nopaluca el brigadier D. Ciríaco de Llano. Esta expedición tendrá seguramente el buen resultado de desalojar aque llos bandidos del pingüe valle de S. Andrés, bien sea por la casualidad de que Rafols los sorprenda, ó bien porque sus marchas les obligue á dispersar se : mas en uno y otro evento debemo…</t>
  </si>
  <si>
    <t>…SPAÑA. México 6 de Marzo. Continuación de los partes de Nueva-España. El coronel D. Francisco Hevia participa, con fecha de 17 de Febrero, desde Huatusco al brigadier y comandante general D. Ciríaco de Llano lo siguiente: „Para dar cumplimiento á la superior órden del Excmo. Sr. virey , rela tiva á que luego que me encargase del mando de este distrito empezase mis operaciones, tomando el pueblo de S. Antonio Huatusco, fortificado por los rebeldes, y defendido por…</t>
  </si>
  <si>
    <t>…e coronel Santa Ma rina como todos los oficiales y tropa que asistieron á esta expedición. „Dios guarde á V. S. muchos años. Huatusco y Febrero 17 de 1817.= Francisco Hevia. = Sr. brigadier D. Ciriaco de Llano.” El Excmo. Sr. virey ha mandado dar las debidas gracias al coronel Hevia y á los gefes, oficiales y tropa que asistieron á esta jornada; y en re compensa del denuedo y decisión del teniente coronel del regimiento de in fantería de México D. Josef Santa Marin…</t>
  </si>
  <si>
    <t>…eneralizado mas, y sobre todo en los países expuestos á la sequedad que se siente en el dia en Marsella. ESPAÑA. México 6 de Marzo. Continuación de los partes de Nueva-Esparta. El brigadier D. Ciríaco de Llano ha dirigido al Exeme. Sr. virey el parte siguiente:</t>
  </si>
  <si>
    <t>…el Consejo supremo de Indias D. Josef Aicinena, Comendadores Al mariscal de campo D. Josef María Jalón; á los brigadieres marques de Sta. Cruz de Rivadulla; D. Pedro de la Cuesta; D. Ciríaco de Llano; D. Juan Josef Olazabal; á D. Juan Hernández de Alba, oidor de la au diencia de Puerto-Príncipe; D. Martin Gil y Garcés, deán de la catedral de Valladolid de Mechoacan; al capitán de navio D. Juan Jacinto de Vargas; D. Antonio Julián Alvarez, oidor de la audi…</t>
  </si>
  <si>
    <t>…hos años. Ermita del Calvario del pueblo de Misantla ^'arzo 23 de 18 1 n. — Excrno. Sr. arjoset Joaquín Márquez y Do— Dallo. = Exento. Sr. virey D. Juan Ruiz de Apodaca ’’ 3.0 D I brigadier D. Ciríaco de Llano. ,,Excmo. Sr.: Es adjunto para el superior conocimiento de V. E. el parte original que me han remitido los tenientes coroneles D. Saturnino Samaniego y D. Félix de la Madrid, relativo á la toma del fuerte enemigo deXonacat— Jan por las armas del Rey nuestro S…</t>
  </si>
  <si>
    <t>…ignia Mr. Eise-Esinga, merca der en Franeker, autor de un sistema planetario. ESPAÑA. México 8 de Abril. El Excmo. Sr. virey ha recibido los partes siguientes: 1.° Del brigadier y comandante D. Ciríaco de Llano. „Excmo. Sr.: En oficio número 143 de 5 del actual me dice el coman dante militar de la provincia de Oajaca lo siguiente: „ Acompaño á V. S. original el parte que me ha remitido el comandante de las Mistecas teniente coronel D. Patricio López de la acción que…</t>
  </si>
  <si>
    <t>…encia los pormenores de esta importante acción para recompensar en nombre del Rey nuestro Señor á los que se han distin guido en ella. TOMA. DEL FUERTE DE SILACAYOAPAN. Oficio del brigadier D. Ciríaco de Llano. ,,Excmo. Sr.: Las repetidas prevenciones hechas por mí al brigadier Don Melchor Alvarez para que se agitasen cuafito fuese dable las operaciones con tra el fuerte enemigo de Silacayoapan, y de que oportunamente he dado á la superioridad de V. E. el correspon…</t>
  </si>
  <si>
    <t>…as Cóndelle cbrt toda la tropa * étiyó fálór y dénüédó méréce aprc,' bacíon. „Dios guarde á V. S. muchos años. Sitio sobré Jonacatlan Marzo 2 de 1817. = Saturnino Samaniego. = Sr. brigadier D. Ciríaco de Llano.” El Excmo. Sr. virey en premio de la bizarra conducta del subte niente del batallón de Guanajuato D. Joaquín Miranda y del distinguido D. Nicolás Cóndelle , se ha servido conceder al primero el grado de tenien te en su clase,y promover al segundo á sargento;…</t>
  </si>
  <si>
    <t>…a Marina, como á todos Jos ofi ciales y tropa que se hallaron en esta brillante y penosa acción. „Dios guarde á V. S. muchos años. Córdoba Marzo 2 de 181 7.=Francisco Hevia. = Sr. brigadier D. Ciríaco de Llano.” El Excmo. Sr. virey en prueba del aprecio con que ha visto las útiles fa tigas de este gefe y sus tropas, después de haber concedido el grado de coro nel en su clase al teniente coronel D. Josef Santa Marina, tanto por esta ac ción como por la de S. Antonio…</t>
  </si>
  <si>
    <t>…mata do los habitantes del campo con carnes envenenadas una docena de lobos. ESPAÑA. México 26 de Marzo. Continuación de los partes de Nueva-España.. EGERCITO DEL SUR. Oficios del brigadier D. Ciríaco de Llano. l.° ,,Excmo. Sr.: Noticioso de que por las inmediaciones de Ixtapan vagaban algunas gavillas de los dispersos de Tehuacan hostilizando los pue blos de aquella comarca, previne entre otras cosas al coronel D. Rafael Braeho que dispusiera que una sección de la…</t>
  </si>
  <si>
    <t>…es. Es cuanto tengo que decir á V. S. en coatestacion á su citado oficio. ,, Dios guarde á V. S. muchos años. Cuartel general de Tehuacan Fe brero 28 de 1817.rrRafael Bracho. =Sr. brigadier D. Ciríaco de Llano.” 2.0 ,,Excmo. Sr.: Habiéndome comunicado el teniente coronel D. Anto nio Flon, comandante de armas, y subdelegado de la jurisdicción de Acatlan, que una gavilla de rebeldes como de 80 hombres, acaudillada por los cabecillas Ensaldos, Cueilar y otros, se reun…</t>
  </si>
  <si>
    <t>Llano, Gregorio Carrizo de</t>
  </si>
  <si>
    <t>Gregorio Carrizo de Llano</t>
  </si>
  <si>
    <t>ración arriesgada de tomar los dos cañones del estero, de qne hago mención en otra parte. Juzgo muy acreedor á cualquiera gracia de V. E. al capitán de cazado res de Extremadura D. Gregorio Carrizo de Llano, cuya bizarría y arrojo bien dirigido sorprendió á los enemigos, impidiéndoles hacer uso de su forti ficación en la ocasión crítica de facilitar á la tropa el paso de la barra en las piraguas, y adelantándose el primero á la batería con su asistente, quien li…</t>
  </si>
  <si>
    <t>…mandante de la pri mera división de milicias del Norte D. Carlos María Llórente; de tenientes coroneles en su clase á- Jos capitanes D. Lorenzo Serrano, D. Alejandro María Arango, D. Gregorio Carrizo de Llano, de Extremadura, y Doit Tuan Ateaga, de realistas de Perote; de capitanes al teniente D. Juan Basave, de Extremadura, y D. Manuel Manso, de realistas de Tampieo; de te nientes á los subtenientes D. Miguel Vitini y D. Josef Quiñones, de Extre madura, y D. Nico…</t>
  </si>
  <si>
    <t>Llano, Nicolás Antonio</t>
  </si>
  <si>
    <t>Nicolás Antonio Llano</t>
  </si>
  <si>
    <t>…aviado en su casa, y solicitó su retención en la Dirección del Crédi to público; y á fin de aclarar su legítima pertenencia, se mandó por dicho señor juez se comunicase traslado á D. Nicolás Antonio Llano, Pedro Martin Molins, Agustín Alegrin, Sres. D. Francisco Argel é hijos, Pablo París, Miguel Mayoral, Manuel González de la Torre y D. Josef Rubino, tenedores de los referidos vales, k quienes para que llegase á su noticia se publicase en la gaceta y diario d…</t>
  </si>
  <si>
    <t>Llanos, Blas</t>
  </si>
  <si>
    <t>Blas Llanos</t>
  </si>
  <si>
    <t>…cieren siendo arregladas. Observaciones médico-políticas sobre la estimación, vicios y defectos que han tenido y tienen las profesiones y profesores del arte de curar: por el Lie. D. Blas Llanos, profesor de medicina y del Real colegio de esta corte &amp;c. Esta obrita pre senta el cuadro de los males y perjuicios que la ignorancia y los abusos han produ cido en la salud aun en los pueblos y tiempos mas ilustrados. E11 ella se anuncia la triste situación…</t>
  </si>
  <si>
    <t>Llanos, Juan Josef</t>
  </si>
  <si>
    <t>Juan Josef Llanos</t>
  </si>
  <si>
    <t>…contiene oficios del capitán D. Rafael Fernandez desde Tula, en que avisa que el rebelde Mina es perseguido por $co caballos al mando del teniente coronel D. Felipe de la Garza y capitán D. Juan Josef Llanos. „ Asimismo dice que el dia que Mina se separó de la Marina, el P. Mier hizo lo mismo para los Estados Unidos, que nuestras tropas le siguen, y que el batallón de Fernando vil de línea está unido con el señor Arredondo/* „Y lo inserto á V. E. acompañándole el…</t>
  </si>
  <si>
    <t>Llata, Manuel de Ja</t>
  </si>
  <si>
    <t>Manuel de Ja Llata</t>
  </si>
  <si>
    <t>…el teniente D. Juan Canalizo y 30 infantes, por el norte al subteniente D. Josef María García con 20, por el oriente al subteniente Don Vicente Canalizo con 8 , por el poniente al teniente D. Manuel de Ja Llata con D. Manuel y D. Miguel Vázquez, 10 de los realistas de estos y 5 dragones del Príncipe, y por el nordeste al portaguión del Príncipe D. Manuel Perez de León con 6 dragones de su cuerpo. Estas partidas, que obraron con decidido valor, evitaron el incendio y…</t>
  </si>
  <si>
    <t>Llera, Josef María Perez y</t>
  </si>
  <si>
    <t>Josef María Perez y Llera</t>
  </si>
  <si>
    <t>…contribuciones respectivas para la subsistencia de las compañías de urbanos y realistas de es ta guarnición: á las dos de la tarde di vista á Sta. Ana, y dispuse que el te niente D. Josef María Perez y Llera avanzase con 40 caballos llevados á media rienda, con el fin de sorprender alguna gavilla que hubiese dentro: en efecto se hallaba en el expresado pueblo el cabecilla llamado el Cuate con 14 de 100 suyos, los que por tener noticia de nuestra llegada, luego qu…</t>
  </si>
  <si>
    <t>Lleva, M. L. G.</t>
  </si>
  <si>
    <t>M. L. G. Lleva</t>
  </si>
  <si>
    <t>…e las enfermedades crónicas, ó docrina general acerca de estos males , para fundar sobre ella su conocimiento teórico y práctico: por Carlos Luis Dumas, traducción castellana, por D. M. L. G. Lleva al frente un largo y excelente discurso sobre el modo de estudiar y de observar las enfermedades cró nicas: tres tomos en 8.° Se hallará en la librería de Calleja, calle de las Carretas; en Barcelona en la de Sellent; en Valencia en la de Cabrerizo; eri Zarag…</t>
  </si>
  <si>
    <t>Llórente</t>
  </si>
  <si>
    <t>…contra yendo por esta empresa el mas digno mérito como propio de su buena dis posición. Luego que se incorporó Serrano con su tropa, emprendió la marcha pa ra Nautla mi segundo el Sr. Llórente con su sección de vanguardia, dividién dola para hacer menos arriesgada esta operación en dos trozos, que marcha ron simultáneamente, el uno por el rio en piraguas para caer á retaguardia del enemigo, y el otro por el camino mas corto á su frente, mandado por…</t>
  </si>
  <si>
    <t>…as, y á pro ponerle el ataque de Misantla para hacerle partícipe con su tropa de nue vas glorias, porque destacando yo mañana 350 hombres sobre la laguna al cargo de mi segundo el Sr. Llórente, y cubiertos ya los puntos reconquista dos , no tengo por ahora la fuerza competente para esta empresa. Espero merecer por todo la aprobación de V. E., á cuya sabia direc ción se deben Jas satisfacciones de nuestro triunfo. Dios guarde á V. E. muchos años. Na…</t>
  </si>
  <si>
    <t>Llórente, Carlos</t>
  </si>
  <si>
    <t>Carlos Llórente</t>
  </si>
  <si>
    <t>…el punto de la Noria, quitándoles un cañón de á 4 con otras varias armas, y causándoles mucha pérdida en gente y bagages. Con fecha de 27 del mismo Noviembre participa el teniente coronel Don Carlos Llórente haber corrido con parte de su división el espacio de mas de 50 leguas en todas direcciones, destruyendo varios cantones y fortines de los rebeldes, sus parques y cuarteles , dispersándolos por los montes, y cogiéndo les 150 caballos y muías mansas , 40 dichas…</t>
  </si>
  <si>
    <t>Llórente, Cárlos María</t>
  </si>
  <si>
    <t>Cárlos María Llórente</t>
  </si>
  <si>
    <t>…a propuesto , vi con indecible sa tisfacción formada en la playa enemiga pocos momentos antes de amanecer la mitad de la sección de vanguardia , que mandaba mi segundo el teniente coronel D. Cárlos María Llórente, sin ser sentida en el concurso de ocasio nes que precedieron á aquel acto. Luego que emprendió la marcha esta tropa rompieron el fuego ios ene migos, que no pudieron repetir, porque avanzando con un solo tiro á la ba yoneta sobre la batería, nos hicimos dueñ…</t>
  </si>
  <si>
    <t>Llórente, Carlos María</t>
  </si>
  <si>
    <t>Carlos María Llórente</t>
  </si>
  <si>
    <t>…su pe la pérdida causada á los enemigos por nuestros fuegos , pues que diaria mente conducían sus muertos á este pueblo para darles sepultura eclesiástica. Mi segundo el teniente coronel D. Carlos María Llórente, quien después de recibir una fuerte contusión de bala de metralla en una pierna el mismo dia que llegué á su campamento, y á quien no fueron bastantes mis ruegos para que se retirase para su mejor curación, prescindiendo del digno mérito que ha contraído ant…</t>
  </si>
  <si>
    <t>…eñor los grados siguientes á los individuos de la división que siguen: De coronel de egército el teniente coronel veterano comandante de la pri mera división de milicias del Norte D. Carlos María Llórente; de tenientes coroneles en su clase á- Jos capitanes D. Lorenzo Serrano, D. Alejandro María Arango, D. Gregorio Carrizo de Llano, de Extremadura, y Doit Tuan Ateaga, de realistas de Perote; de capitanes al teniente D. Juan Basave, de Extremadura, y D. Manuel…</t>
  </si>
  <si>
    <t>Llórente, Juan Antonio</t>
  </si>
  <si>
    <t>Juan Antonio Llórente</t>
  </si>
  <si>
    <t>…Sr. D. Fernando vri en Madrid en 13 de Mayo de 1814. zz:Napoleón, © el verdadero D. Quijote de la Europa, zz La Inquisición justamente restablecida, ó impugnación de los anales de D. Juan Antonio Llórente, y del manifiesto de las cortes de Cádiz. Véndese en las librerías de Perez, Ranz, Higuera y Minutria. Colección de muestras para aprender á escribir el carácter bastardo, compuesta de 14 láminas por el orden y método mas sencillo que prescribe la enseñanza,…</t>
  </si>
  <si>
    <t>…revolución de España: el Napoleón, ó verdadero D. Quijote de la Europa, y la Inquisición justamente restablecida, ó impugnación de los anales de la misma inquisición, escritos por D. Juan Antonio Llórente, y del manifiesto que publicaron las Cortes de Cádiz para justificar la supresión de aquel tribunal. Arte de cantería, obra en que se enseña á montear y á labrar las bóvedas sim ples, los capialzados, las trompas, los arcos adintelados con juntas á plomo, las…</t>
  </si>
  <si>
    <t>Ló, Francisco</t>
  </si>
  <si>
    <t>Francisco Ló</t>
  </si>
  <si>
    <t>…re unían en su circunferencia para atacar á esta ciudad. £4 20 á las 11 del dia hizo salir el presidente 40 hombres de caballería del escuadrón de la Laguna, al mando del teniente coronel D. Francisco Ló pez, con motivo de que habia entrado una partida de insurgentes en Yotala, creyendo que probablemente andarían por sus inmediaciones. A las 4 de la tarde del mismo caminaba esta sobre los altos de Cachi mayo cuando observó en la Quebrada ur»a división de trop…</t>
  </si>
  <si>
    <t>Lo, Juan Estéban</t>
  </si>
  <si>
    <t>Juan Estéban Lo</t>
  </si>
  <si>
    <t>…rigir al decanó del Consejo el Real decreto siguiente: ,, En atención á la súplica que mé ha hecho la ciudad de Santander para dar un testimonio público del aprecio que la mereció D. Juan Estéban Lo zano de Torres, mi consejero de Estado, y secretario del Despacho de Gra cia y Justicia de España é Indias, cuando en otro tiempo le contó en el nu mero de los capitulares de su ayuntamiento , y en consideración á sus dis tinguidos méritos y servicios, he ven…</t>
  </si>
  <si>
    <t>Ló, Luis</t>
  </si>
  <si>
    <t>Luis Ló</t>
  </si>
  <si>
    <t>…ue se hicieren siendo arre gladas. En virtud de providencia del Sr. D. Josef López del Pan, alcalde de Casa y Corte, refrendada del escribano de provincia y comisiones de la misma D. Luis Ló pez de Castro, se cita, llama y emplaza por término, y último perentorio de 20 dias, á todos los parientes ó herederos que se crean con derecho á los bienes queda dos por la muerte de D. Ramón Josef Longoria Flores, cadete que fue de Guardias de la Real Perso…</t>
  </si>
  <si>
    <t>Ló, Manuel</t>
  </si>
  <si>
    <t>Manuel Ló</t>
  </si>
  <si>
    <t>…principales y agregadas de correos. En el juzgado civil del Sr. D. Mirtín de Gaztañaga, del Consejo de S* M., su alcalde de casa y corte, y escribanía de provincia y comisiones de D. Manuel Ló pez de Pavas, se halla radicada la testamentaría del difunto D. Josef García Serra no, vecino y agente del numero de Indias que fue en esta corte; á su virtud , y en junta general celebrada en 8 de Abril último por los acreedores á dicha testamenta ría , se h…</t>
  </si>
  <si>
    <t>Loaisa, Josef Martínez</t>
  </si>
  <si>
    <t>Josef Martínez Loaisa</t>
  </si>
  <si>
    <t>…edicionario; y el gobierno de S. Agustín de la Florida al tenien te coronel D. Josef Copinger, que lo desempeñaba interinamente. El Rey nuestro Señor se ha servido conceder al Br. D. Josef Martínez Loaisa, canónigo de la santa iglesia catedral de Segorve, su Real permiso para que pueda usar la condecoración de la flor de Lis, con que S. M. Cris tianísima se ha dignado honrarle por su acendrado amor á la augusta casa de los Borbones. Asimismo se ha servido S. M…</t>
  </si>
  <si>
    <t>Lobez, Josef</t>
  </si>
  <si>
    <t>Josef Lobez</t>
  </si>
  <si>
    <t>…inios de América , dando prue bas sus regidores en todos tiempos de su acrisolada lealtad y obediencia. A consulta del Consejo supremo de la Guerra se ha servido S. M. con ceder á D. Josef Lobez, practicante de cirugía del hospital militar de Ali cante , el fuero militar y uso de uniforme de la clase de segundo ayudante que le corresponde como comprendido en el artículo 3.0 de la Real orden de 19 de Junio de 1815; declarando al mismo tiempo le ha sid…</t>
  </si>
  <si>
    <t>Locches, Jacinto Gaona y</t>
  </si>
  <si>
    <t>Jacinto Gaona y Locches</t>
  </si>
  <si>
    <t>…la cantidad de 11213 a rs. y 10 mrs., y tiene de sitio 2291^ pies cuadrados superficiales. Quien quisiere hacer postura acuda ante dicho señor juez por la escribanía del número de D. Jacinto Gaona y Locches dentro del término de 30 días, contados desde el citado 6, En virtud de providencia del Sr. D. Joaquín Almazan, del Consejo de S. M«, teniente de corregidor de esta muy heroica villa, se cita de nuevo, llama y emplaza* á todos los acreedores á la testamentarí…</t>
  </si>
  <si>
    <t>Loeches, Jacinto G-aona y</t>
  </si>
  <si>
    <t>Jacinto G-aona y Loeches</t>
  </si>
  <si>
    <t>…frió de parte del mencionado regidor* Por el juzgado del Sr. D. Joaquín de Almaran, del Consejo de S. M., teniente, de corregidor de esta heroica villa, y escribanía del número de D. Jacinto G-aona y Loeches, penden autos á instancia de D. Antonio Artola, presbítero &gt; sobre que se le declaren de su pertenencia y vales Reales, 4 de ellos de la creación de Enero de 300 pesos, núms. 80343, 81855,91 373 y 81878, y 3 de la creación de Setiem bre, 2 de ellos de 300 pes…</t>
  </si>
  <si>
    <t>Loeches, Jacinto Gaona y</t>
  </si>
  <si>
    <t>Jacinto Gaona y Loeches</t>
  </si>
  <si>
    <t>…tos de otros autores. Se vende en virtud de providencia del Sr. D. Joaquín Almazan, del Consejo de S. M., y teniente de corregidor de esta villa, y por la escribanía del número de D. Jacinto Gaona y Loeches, un pedazo de tierra labrantía y retamar titulado Suer tes de villa, sito en término del lugar de Alcorcon , perteneciente á los propios de él, de caber 615 fanegas, 4 celemines y 15 estadales, tasado al respecto de 300 reales fanega en la cantidad de 184612…</t>
  </si>
  <si>
    <t>…estadales, tasado en 184612 rs. y 17 mrs., se ha señalado por providencia del Sr. D. Joaquín Almazan, del consejo de S. Al. y te niente de corregidor de esta villa, refrendada de D. Jacinto Gaona y Loeches, su escribano del número, el dia 23 del corriente á las r2 en punto de la mañana en la audiencia de S. S. Quien quisiere hacer postura á dicho pedazo de tierra acuda ante el mismo Sr. juez y citada escribanía, ó en el indicado dia á la hora acordada para su r…</t>
  </si>
  <si>
    <t>…idos del beneficio del referido decreto. En virtud de providencia del Sr. D. Joaquín Almazan, del Consejo de S. M., y teniente de corregidor de esta villa de Madrid, refrendada de D. Jacinto Gaona y Loeches, escribano del número de Ja misma, se ba mandado sacar á pública sub asta por segunda vez un pedazo de terreno de tierra labrantía y retamar, titulada Suertes de villa, sito en término del lugar de Alcorcon, perteneciente á los propios de él, de caber 616 fan…</t>
  </si>
  <si>
    <t>…su pro ducto á los que hasta el dia se han mostrado parte. Por providencia del Sr. D. Joaquín Almazan, del Consejo de S. M., y teniente de corregidor de esta villa, refrendada de D. Jacinto Gaona y Loeches, escribano del número de la misma, se ha señalado el domingo 21 del corriente á las nueve de su mañana en la posada de S. S. para la junta general de acreedores í los bienes ce didos por Antonio García, vecino y taonero del lugar de Getafe. Lo que se anun* cí…</t>
  </si>
  <si>
    <t>…uperficiales, y se halla valuado con lo fabricado en la cantidad de 61184 rs. vn. Quien quisiere comprar dicho solar acuda ante el mismo señor juez por la escribanía del número de D. Jacinto Gaona y Loeches dentro del término de 30 dias, contados desde i.° del corriente, en donde se admitirán las posturas y me joras que se hiciesen siendo arregladas. Para el remate de! terreno labrantío y retamar, perteneciente á los propios del lugar de Alcorcon, dividido en 39…</t>
  </si>
  <si>
    <t>Loigorri, Pablo Navas y</t>
  </si>
  <si>
    <t>Pablo Navas y Loigorri</t>
  </si>
  <si>
    <t>…ns y Cabañiés, D. Juan de Dios Valera y Viaña, D. Josef Zizur y Azanza, D. Tomas Mones y Puertas, D. Miguel Zizur y Azanza, D. Joaquín Basols y Marañosa, D. Josef Amat y Desvaíls, D. Pablo Navas y Loigorri, D. Josef Navarro y Alarcon , D. Agustín Blake y Tovar, D. Josef Romero Dorado, D. Manuel Vega y Romero, D. Al varo de Navia y Osorio, D. Juan de ia Lastra y Mata, D. Dionisio Sierra y Abello, D. Antonio Jácome y Villena, D. Antonio Fernandez Pinzón, Don Anto…</t>
  </si>
  <si>
    <t>Londoño, Vicente García Mayor de</t>
  </si>
  <si>
    <t>Vicente García Mayor de Londoño</t>
  </si>
  <si>
    <t>…lama y emplaza por tercera y última vez á D. Francisco y D. Antonio García Mayor de Londoíío, y á sus hijos ó descendientes legítimos, llamados á la sucesión del vínculo que fundó D. Vicente García Mayor de Londoño á nombre de su muger Doña Josefa Manuela de Reinoso, para que en el término que tiene señalado el citado alcalde mayor acudan á su juzgado á exponer lo que les convenga á su derecho con la justificación competente de su personalidad, conforme á lo solicita do…</t>
  </si>
  <si>
    <t>Longa, Francisco</t>
  </si>
  <si>
    <t>Francisco Longa</t>
  </si>
  <si>
    <t>…la celebró ayer una función de iglesia con mi* sa solemne y Te Deum por el feliz alumbramiento de la Reina nuestra Se* ñora, á que asistió el juez de contrabando mariscal de campo D. Francisco Longa con los demas militares que actualmente se hallan en esta. Madrid ij de Setiembre. La Reina nuestra Señora oyó misa en publico el dia 14 del corriente en la Real capilla de palacio , y después recibió la corte: por la tarde salió á paseo en coche, llevando en…</t>
  </si>
  <si>
    <t>Lope</t>
  </si>
  <si>
    <t>…la disminución de las de S. M. Avisé también que el egército ene migo llamado de Oriente de la Nueva-Granada habia penetrado en Varinas, y batido completamente á su gobernador el coronel Lope2. En principios de Diciembre bajó una columna del egército del Rey la cordillera nasta las lla nuras de Casanare, y fue batiendo de frente al enemigo, y arrollándolo al propio tiempo que el coronel Calzada egecutaba igual movimiento desde Cuenta á caer sobre…</t>
  </si>
  <si>
    <t>Lope, Joaquín Ruiz de</t>
  </si>
  <si>
    <t>Joaquín Ruiz de Lope</t>
  </si>
  <si>
    <t>…Navarra D. Angel Sanz, médico de Cervera del Rio Alama, para Fitero: D. Josef Rodríguez, médico de la villa de Pastrana, en la Al carria, para Velascoain : en el reino de Valencia D. Joaquín Ruiz de Lope, médico titular de la villa de Albatera, para Bussot. El interesado que no hubiese recibido por sí, por medio de apoderado, ó bien por el correo el oficio de su nombramiento, lo reclamará á la mayor brevedad del secretario de la Real junta superior gubernativ…</t>
  </si>
  <si>
    <t>López</t>
  </si>
  <si>
    <t>…us resultas. ,,E1 capitán Aldao comunica desde S. Miguel el Grande que habian en trado con Sesma y Arrazola (alias Zapotillo) 30 caballos en el cerro, y con fecha de 3 me avisa el comandante López ha estrechado á los rebeldes de el, en términos que no pueden subsistir por muchos dias, pues los desertores que se le han presentado le han informado de la situación miserable en que se hallan. Yo sin embargo de las órdenes que le tengo dadas para estrecharl…</t>
  </si>
  <si>
    <t>López, Amonio</t>
  </si>
  <si>
    <t>Amonio López</t>
  </si>
  <si>
    <t>…on la satisfacción que merece el en tero exterminio de los rebeldes en todo el país, esperando después que nos desocupemos dar a V. S. el pdrte circunstanciado. „E1 ayudante mayor D. Amonio López instruirá á V. S. verbalmente de nuestras disposiciones para el alcance de los muy pocos que hayan esca pado, y evitar que se reúnan en perjuicio de los pueblos (&lt;). ,, Dios guarde á V. $. muchos años. Campamento en. Xonacatlan Marzo 29 de 181 7. = Saturnino…</t>
  </si>
  <si>
    <t>López, Antonio</t>
  </si>
  <si>
    <t>Antonio López</t>
  </si>
  <si>
    <t>…xaman á implo rar el indulto , no lo hizo, y permaneció errante de monte en monte. En estas circunstancias, y ausente yo del territorio de mi cargo, di or den para que mi ayudante D. Antonio López hiciese diversas marchas, ya para impedir la ocupación de Sta. Gertrudis nuevamente, como para perse guir á diversas gavillas de rebeldes que infestaban los pueblos entre Tehua can j Tepexi y Huaxaman; y en Charumba logró aprehender el 29 del úl timo Enero al…</t>
  </si>
  <si>
    <t>…tenientes coroneles D. Saturnino Samaniego y D. Félix de la Madrid, relativo á la toma del fuerte enemigo deXonacat— Jan por las armas del Rey nuestro Señor, y el misino ayudante D. Antonio López, enviado por Jos tenientes coroneles , que lo conduce, enterará á V. E. verbalmente de cuanto expresan estos gefes, mientras recibo el detall circuns tanciado d; e!los para elevarlo á V. E. con toda brevedad con aquel objeto. ,, Dios guarde á V. E. muchos año…</t>
  </si>
  <si>
    <t>López, Antonio Alonso</t>
  </si>
  <si>
    <t>Antonio Alonso López</t>
  </si>
  <si>
    <t>la calle de Hoftaíezá, fiúm. 3 , maftz. 304, el día »p de! cOfííefite ¿las 12 de la mañana en sil audiencia. Se cita, llama y emplaza á D. Antonio Alonso López y demás interesados, úl timos tenedores de 10 vales Reales de 300 pesos, creación de i.° de Mayo de 1808, núms. 433277, 4334211 433439,433?57» 4339* *. 434254&gt; 434382 *435837» 437611 y 438643, que se hallan detenidos por reclamación de la Excma. Sra. Do ña Ma…</t>
  </si>
  <si>
    <t>López, Bernardo</t>
  </si>
  <si>
    <t>Bernardo López</t>
  </si>
  <si>
    <t>í38o ESPAÑA, México 29 de Marzo. Continuación de los partes de 'Nueva-España. PROVINCIA DE CHALCO. Parte del teniente coronel y comandante D. Bernardo López. „Excmo. Sr.: Por la demarcación de mi distrito no tiene V- E. mas no vedad que á sus inmediaciones, esto es, en el monte arriba deTetelco se han aparecido Colín y Germán Reyes, el primero con io hombres, y el segundo con 5; se les está persiguiendo con tesón…</t>
  </si>
  <si>
    <t>López, Félix Martínez</t>
  </si>
  <si>
    <t>Félix Martínez López</t>
  </si>
  <si>
    <t>…d y su provincia, en cumplí-1 miento de sus estatutos , celebró su junta anual pública el ala 26 de Juii.0, último , dando principio á este solemne acto su segundo director el Dr. Don Félix Martínez López , quien manifestó en un discurso sucinto y enérgico los justos motivos que asisten al cuerpo patriótico para lisonjearse de los fe lices y gloriosos resultados que han conseguido sus continuados desvelos en beneficio del país, mereciendo por este medio la ben…</t>
  </si>
  <si>
    <t>López, Josef</t>
  </si>
  <si>
    <t>Josef López</t>
  </si>
  <si>
    <t>…de la costa en que baró la flechera, le hacia una com pañía enemiga. También suplico á V. S. haga presente á S. M. el mérito que contrajo el comandante de la flechera Fernando vil D. Josef López, que murió en la acción , y cuyas últimas palabras fueron muero gor mi Rey¡ para que recaigan sobre su viuda Doña Leonor Rodríguez aquellas gracias á que S. M. la crea acreedora: López no tenia carácter militar; era uno de los particulares fieles á su Soberan…</t>
  </si>
  <si>
    <t>…odo á S. M. el brigadier gefe de escuela del departa mento D. Mariano Breson, director de estudios del establecimiento, y capi tán primero de la compañía , y el coronel del cuerpo D. Josef López, capi tán segundo de la misma. SS. MM. y AA. se dirigieron primeramente á la capilla del colegio , donde fueron recibidos por el canónigo de la santa iglesia catedral de Segovia D. Manuel de Alvaro Benito, teniente vicario castrense, el capellán segundo del c…</t>
  </si>
  <si>
    <t>López, Juan</t>
  </si>
  <si>
    <t>Juan López</t>
  </si>
  <si>
    <t>…e esta clase; pudiendo también servir de guia á los jóvenes militares, comerciantes ó videros en el estudio de la historia y en la lectura de todos Jos periódicos: por el geógrafo D. Juan López. Se hallará á 140 rs. en el despacho de las obras del autor, calle de Atocha, frente á la plazue la del Angel. EN LA IMPRENTA REAL.</t>
  </si>
  <si>
    <t>López, Lucía</t>
  </si>
  <si>
    <t>Lucía López</t>
  </si>
  <si>
    <t>…la Cámara Cano, del Consejo de S. M., teniente primero de corregidor de esta villa, ha señalado para la celebración de una junta de acreedores de D, Pedro García Olalla y su muger Doña Lucía López a los de la testamen taría de D. Josef Sánchez Riscos el dia 17 de Mayo próximo á las ocho en punto de su mañana en la posada de S. S., lo que se hace saber para su concurrencia; en tendidos que de no hacerlo les parará el perjuicio que haya lugar. Quien quis…</t>
  </si>
  <si>
    <t>López, Manuel Tiburcio</t>
  </si>
  <si>
    <t>Manuel Tiburcio López</t>
  </si>
  <si>
    <t>…arios pueblos en la comarca que no tienen médico. Los que quisieren optar á dicho partido dirigirán sus memoriales al alcalde ordinario y único, ó al secretario de su ayuntamiento D. Manuel Tiburcio López; en la inteligencia que se ha de proveer dentro de 15 días, contados desde esta publicación. Los suscríptores á las Instituciones del Derecho público del egército por el bri gadier D. Juan Sánchez Cisneros, podrán acudir á recogerlas á la librería de Barco, c…</t>
  </si>
  <si>
    <t>…varios pueblos en ia comarca que no tienen médico. Los que quisieren optar á dicho partido dirigirán sus memoriales al alcalde ordinario y único, ó al escribano de su ayuntamiento D. Manuel Tiburcio López *, en la inteligencia de que á los 15 días de este anuncio se ha de proveer. Teatro ó colección de los sainetes y demas obras dramáticas de D. Ramón de la Cruz y Cano: tomos 5.0, ó.°, 7.0, 8.°, g.° y 10.°, impresos en 1789. Véndese á 11 rs. cada tomo en papel…</t>
  </si>
  <si>
    <t>López, Matías</t>
  </si>
  <si>
    <t>Matías López</t>
  </si>
  <si>
    <t>…de la ciu dad de Astorga, que cansado de sufrir á los franceses se ausentó de dicha ciudad en 25 de Abril de 1810 á los 17 años de edad. Quien supiere de él se servirá avi sarlo á D. Matías López, presbítero, vecino de dicha ciudad de Astorga. Compendio de fisiologia, ó conocimiento del hombre físico y vital, dispuesto con arreglo á la doctrina de Damas para el uso de los alumnos de medicina y ciru gía en las universidades y colegios de España, por D.…</t>
  </si>
  <si>
    <t>López, Nicasio</t>
  </si>
  <si>
    <t>Nicasio López</t>
  </si>
  <si>
    <t>…obras, y examinadas por los profesores se adjudicó el primer premio (que fue preciso duplicarlo) á D. Juan Men doza y D. Antonio Vicente, y el segundo, en que sucedió lo mismo, á Don Nicasio López y D. Josef Yarza, unos y otros de la sala de arquitectura: en la del modelo, por lo tocante á escultura , se confirió á D. Matías Ayardi; y en la parte de dibujo á D. Toribio Lahoz: en la de academias de figuras á D. Gaspar Safesa , en la de cabezas á D. Lorenzo Viscasillas,…</t>
  </si>
  <si>
    <t>López, Patricio</t>
  </si>
  <si>
    <t>Patricio López</t>
  </si>
  <si>
    <t>…5 del actual me dice el coman dante militar de la provincia de Oajaca lo siguiente: „ Acompaño á V. S. original el parte que me ha remitido el comandante de las Mistecas teniente coronel D. Patricio López de la acción que dio el</t>
  </si>
  <si>
    <t>…se había extraviado un cazador, este acaba de presentárseme sin novedad. ,,Dios guarde á vind. muchos años. Chalcatongo Febrero 2 de 1817.= Antonio Aldao. = Sr. teniente coronel y comandante D. Patricio López.” 2.0 Del Exento. Sr. comandante general mariscal de campo D. Josef de la Cruz. ,, Excmo. Sr.: Paso á manos de V. E. el adjunto parte original que me ha dirigido el sargento mayor D. Josef Ignacio Ortiz de Rosas, comandante de la segunda división de este egér…</t>
  </si>
  <si>
    <t>López, Pedro</t>
  </si>
  <si>
    <t>Pedro López</t>
  </si>
  <si>
    <t>…ia de providencia del Sr. D. Ramón Satue, del Consejo de S. M., alcalde de su Real casa y corte, de 25 del pasado, se cita, llama y emplaza á to dos los acreedores á los bienes de D. Pedro López, de esta vecindad, ya difunto, para que dentro del término de 30 dias comparezcan ante S. S. y escribanía de pro vincia de D. Julián Alonso y Estrada á legitimar sus créditos por medio de procu rador con poder bastante, contados desde 30 del pasado. Tratado d…</t>
  </si>
  <si>
    <t>López, Rodrigo</t>
  </si>
  <si>
    <t>Rodrigo López</t>
  </si>
  <si>
    <t>…en la iglesia del colegio, precedidos de su maestro el P. Joaquín Falceto de Santa Lucía, 24 discípulos de la clase de retórica. Abrióse el acto por una anacreóntica , con la cual D. Rodrigo López, uno de los discípulos, pidió la atención del público; y en seguida^otro de ellos, D. Venancio Montero, pronunció un discurso latino sobre la gloria justa mente adquirida por los españoles en la última guerra contra la Francia, en el cual brillaban á la par l…</t>
  </si>
  <si>
    <t>López, Valentín</t>
  </si>
  <si>
    <t>Valentín López</t>
  </si>
  <si>
    <t>…las Carretas; de Brun, frente las Co vachuelas, y en la tienda de D. Sebastian de Lerena, calle de Toledo , nú mero 3 *. en Aranjuez en el estanco de tabacos del mismo á cargo de Don Valentín López, calle del Gobernador; lo que se anuncia al público para su noticia.</t>
  </si>
  <si>
    <t>Lopez, Vicente</t>
  </si>
  <si>
    <t>Vicente Lopez</t>
  </si>
  <si>
    <t>…de estampas, calle Mayor, frente á la casa del conde de Oñate, con los dos de igual tamaÍlo del Rgy nuestro Senor y del Se rmo. Sr. Infante D. Chlos, sacados de los que ha pintado D. Vicente Lopez, primer piAlor de S. AtI., que S! publicaron el año anterior. N uevo retrato de la REINA dI.! España Doiía lVIARIA ISABEL DE BRAGA NZA, cO~EY " dibujado y gra ...piado dd bust~ que hizo I? Josef Ginés., primer escult01' del bado en cuartIlla por MIguel Gambor…</t>
  </si>
  <si>
    <t>López, Vicente</t>
  </si>
  <si>
    <t>Vicente López</t>
  </si>
  <si>
    <t>…onde de Oiíate, se vende el nuevo y verdadero retrato de la milagrosa imágen de Jesús Na zareno como se venera en el convento de trinitarios descalzos de esta corte, dibuja do por D. Vicente López, primer pintor de cámara de S. M., y grabado en medio pliego de marca mayor por D. Francisco Jordán, á 10 rs. cada estampa con permi so de la Real academia de S. Fernando. EN LA IMPRENTA REAL.</t>
  </si>
  <si>
    <t>Lora, Francisco Higuera y</t>
  </si>
  <si>
    <t>Francisco Higuera y Lora</t>
  </si>
  <si>
    <t>…Aranda de Duero, cu ya dotación son 8© rs. anuales, pagados puntualmente y por meses de propios, y que debe proveerse el dia 1 3 de Julio próximo. Los pretendientes se dirigirán á D. Francisco Higuera y Lora, regidor perpetuo. El primer trimestre de la suscripción de la Crónica científica y literaria con cluye el último dia del presente mes de Junio. Los suscriptores que quieran conti nuar recibiendo puntualmente este periódico acudirán á renovar sus suscripcione…</t>
  </si>
  <si>
    <t>Lorente, Máximo Manuel</t>
  </si>
  <si>
    <t>Máximo Manuel Lorente</t>
  </si>
  <si>
    <t>…de las de Navarra, Asturias, Valencia y Murcia; el tercero, Don Félix González, de las de Cataluña y Extremadura; el cuarto, D. Bartolo mé Pinera, de las de Andalucía; el quinto , D. Máximo Manuel Lorente, de las de Castilla la Vieja y Galicia; el sexto, D. Serapio Sinués, de las de Aragón , y el séptimo vocal, secretario D. Manuel Damian Perez, de las de Solan de Cabras y Alcantud en dicha Castilla la Nueva. En virtud de providencia del Sr. D. Joaquín de Alma…</t>
  </si>
  <si>
    <t>Lorenzana, Pedro Charro de</t>
  </si>
  <si>
    <t>Pedro Charro de Lorenzana</t>
  </si>
  <si>
    <t>…ses, que cumplirán en 25 de Setiembre próximo. Los suscriptores á la obra titulada Agronomía, ó Diccionario manual del la brador, escrito en francés, y traducido al castellano por D. Pedro Charro de Lorenzana &amp;c., acudirán á la librería de Bailo, calle de las Carretas, á recoger el to mo 4.0, que comprende las letras N á P, y anticipar iors., importe del tomo 5.0, que se halla en prensa, y saldrá con la posible brevedad. En este diccionario se han reunido las obse…</t>
  </si>
  <si>
    <t>…l. Véndense en el almacén de la imprenta Real. Los suscriptores á la obra titulada Agronomía, ó Diccionario manual del labra dor, escrita en francés, y traducida al castellano por D. Pedro Charro de Lorenzana, acudirán á la librería de Bailo, calle de las Carretas, á recoger el tomo 5.0, que comprende las letras Q á S, y anticipar los 10 rs., importe del &lt;5.° y ultimo, que se halla en prensa, y saldrá con la posible brevedad. El autor de este diccionario ha reunid…</t>
  </si>
  <si>
    <t>…del Arenal, frente á la plazuela de Ceienque. Los suscríptores á la obra titulada Agronomía, ó Diccionario manual del la brador, escrita en francés, y traducida al castellano por D. Pedro Charro de Lorenzana, acudirán á la librería de Bailo, calle de las Carretas, á recoger el tomo 6.° y último, que comprende las letras T y Z; desde este día se halla de venta la obra á 66 rs. á la rústica y 78 en pasta. El autor de este diccionario ha reunido las observaciones ma…</t>
  </si>
  <si>
    <t>Lorenzen</t>
  </si>
  <si>
    <t>…uso, y los apresaron, como también á tres barcos españoles que no tenían pasaportes suficientes. El buque hamburgués es un bergantín grande nombrado el Reiherstieg, mandado por el capitán Lorenzen, perteneciente á M rs. B y H. Roosen , el cual, inmediatamente que entró en el puerto de Argel fue declarado de buena presa.-__La tripulación quedó prisionera de guerra , ó por mejor decir esclava, pues los prisioneros son tratados lo mis mo que anteriormente…</t>
  </si>
  <si>
    <t>Lorenzo</t>
  </si>
  <si>
    <t>…público, como de fábrica moderna y cuatro cuerpos, en la cantidad de .8093491 rs. vn., la cual se vende para hacer pago de cierto crédito que se repite contra la testamentaría de D. Lorenzo de la Azuela y Santa María, á la que corresponde dicha finca; lo que se ha mandado hacer notorio al público para que los que quisieren hacer postura lo egecuten por la dicha escriba nía, donde se les instruirá por menor, y admitirán las que hicieren siendo ar…</t>
  </si>
  <si>
    <t>…z Gómez, natural de Cádiz, y de su esposa Doña Manuela Perez de Abreu, natural de la ciudad de S. Felipe y Santiago del Bejucar,por sí y en nombre de sus hijos legítimos D. Josef, D. Lorenzo, D. Antonio, Doña María de la Concepción, Doña Gertrudis, Doña María de Jesús, D. Francisco,D. Juan, D. Manuel y Dou Ramón López Perez, naturales de la Havana; y habiendo fallecido el referido su padre D. Antonio López Gómez en el mismo año de 1802 , al tiemp…</t>
  </si>
  <si>
    <t>Lorenzo, Bernardino</t>
  </si>
  <si>
    <t>Bernardino Lorenzo</t>
  </si>
  <si>
    <t>…ro, D. Toribio González, D. Santiago Alonso, D. Tomas Pardo, D. Ignacio Ojero, Don Fernando Movilla, D. Manuel Gómez, D. Francisco Rodriguez, D. Alvaro Chaves, D. Fernando García, D. Bernardino Lorenzo y D. Luis de León. El R. P. prior de Sto. Domingo demostró en un discurso que sin la reliion, virtud y buena educación no bastan las leyes á morigerar los pueblos: ). Bernardo de Choya, uno de los jóvenes alumnos, igualmente condecof rado, pronunció otro elegante discurso exho…</t>
  </si>
  <si>
    <t>Losé, Carlos</t>
  </si>
  <si>
    <t>Carlos Losé</t>
  </si>
  <si>
    <t>…rdias de infantería Española: la segunda de la plaza de Santoña á D. Andrés Reyes, subteniente del regimiento de Cantabria; y la capitanía de llaves de la de Palma en Ma llorca al teniente D. Carlos Losé, subteniente del regimiento de infantería de Valencia. También se ha servido S. M. conceder en América la tenencia de Rey de la plaza de Campeche, con el carácter de cabo subalterno de la provin cia de Yucatán, á D. Juan Josef de León, coronel del Real cuerpo…</t>
  </si>
  <si>
    <t>Lostra, Juan Miguel de</t>
  </si>
  <si>
    <t>Juan Miguel de Lostra</t>
  </si>
  <si>
    <t>…en Cara cas ; D. Nicolás Blanco; D. Miguel García Carrasquedo; D. Francisco Es cudero; D. Ildefonso Ruiz del Rio; D. Luis Gargollo; D. Josef López del Diestro ; D. Andrés Marzan; D. Juan Miguel de Lostra; D. Antonio Fajar do; D. Tomas Urrutia; D. Josef Xavier de Zuluaga y D. Josef de Veamurguía, individuos de la junta de reemplazos establecida en Cádiz; D. Josef Miguel Formento, coronel de milicias de Fondo; D. Agustín Rodríguez y Fernandez, vecino de Montevi…</t>
  </si>
  <si>
    <t>Loureiro, Josef María</t>
  </si>
  <si>
    <t>Josef María Loureiro</t>
  </si>
  <si>
    <t>…ey, D. Anronio de Prado, D. Manuel Rodríguez Almeida, D. Fermín del Pedregal y D. Ra món Casal. En álgebra D. Josef Pujadas y D. Fermín Galccran. En geometría el citado Martínez , D. Josef María Loureiro, D. Manuel María Vicario , Don Cosme Arias, D. Josef Alonso, D. Benito Pereira, D. Florencio Pereira, D. Juan Francisco Rodríguez, D. Josef Vicente Veiga, D. Joseí Abad y D. Gregorio Cancela. En trigonometría plana los mismos Martínez , Lourei ro, Galceran, V…</t>
  </si>
  <si>
    <t>Lowther</t>
  </si>
  <si>
    <t>…drá á los que tuvieren intención de repetir estos ultrajes hechos á la justicia y á la libertad del comercio. FRANCIA. París // de Julio. Han venido hoy de Londres lord Landsdale, lord Lowther, su hijo, uno de los lores de la tesorería, Mr. Beckett, segundo secretario de Estado del Interior, y Mr. Baring, banquero ingles, uno de los consignatarios del préstamo. En todo el mes de Junio han entrado en el puerto del Havra 126 embar caciones, entre las…</t>
  </si>
  <si>
    <t>Loygorri, Martin García y</t>
  </si>
  <si>
    <t>Martin García y Loygorri</t>
  </si>
  <si>
    <t>…rono, debiéndose á su pater nal desvelo el restablecimiento de aquella escuela militar en un pie mas per fecto que el que tenia anteriormente S. M. se dignó manifestar al teniente general D. Martin García y Loygorri, director coronel general dd mismo cuerpo, su Real determinación de inspeccionar en 23 de este mes aquel es tablecimiento, trasladándose con la Reina nuestra Señora y Serinos. Seño res Infantes desde el Real sirio de S- Ildefonso al Real alcázar de Srgovia, o…</t>
  </si>
  <si>
    <t>Lozano, Florencio</t>
  </si>
  <si>
    <t>Florencio Lozano</t>
  </si>
  <si>
    <t>…ro Jansen, vecino dei Monte de Hamburgo, por enfermedad de su anterior capitán Juan Shnakemberg, y fue apresado por el corsario español titulado Santo Cristo del Pardo, su armador D. Florencio Lozano, vecino de esta corte, para que en el preciso y perentorip término de cuatro meses, contados desde la publicación de este aviso, se presenten en dicho supremo Conse jo con poder bastante á usar de su derecho en el pleito que se sigue en el mismo so bre legiti…</t>
  </si>
  <si>
    <t>…dro Jansen, vecino del Monte de Hamburgo, por enfermedad de su anterior capitán Juan Sbnakemherg, y fue apresado por el corsario español titulado Sto. Cristo del Pardo, su armador D. Florencio Lozano, vecino de esta corte, para que en el preciso y perentorio término de cuatro meses, contados desde la publicación de este aviso, se presenten en dicho supremo tribu nal, con poder bastante, á usar de su derecho en el pleito que se sigue en el mismo sobre legi…</t>
  </si>
  <si>
    <t>Lozano, Pablo</t>
  </si>
  <si>
    <t>Pablo Lozano</t>
  </si>
  <si>
    <t>…de Carlos v y catedral de Granada, y también de la santa iglesia de Córdoba; y el 2.0 en otras 29 estampas, pavimentos, frisos y letre ros arábigos, explicados é interpretados por D. Pablo Lozano, secretario de S. M. con egercicio, y de la interpretación de lenguas: véndese el i.° á 300 rs,, y el 2.0 á 100.“ Estampa de la alegoría de Cárlos m, que pintó Solimena, grabada por Don Manuel Salvador Carmona, á 40 rs. con su explicación. “Estampa del cuadro…</t>
  </si>
  <si>
    <t>Lozano, Tomas</t>
  </si>
  <si>
    <t>Tomas Lozano</t>
  </si>
  <si>
    <t>…desea saber la existencia de Doña Angela Pelayo, muger que fue de Don Aíanasio Morrondo, ó quien represente su persona, para comunicarla un asunto que la interesa, preguntando por D. Tomas Lozano, capellán de nuestra Señora del monte de Piedad , que vive en dicha casa cuarto segundo. Se desea saber el paradero de D. Julián Satnz de Quintanilla, que salió de su casa el 1 2 de Mayo de 1812, y sirvió en el regimiento de los húsares de Oporto, núm. 12. El…</t>
  </si>
  <si>
    <t>LTgarcalde, Antonio</t>
  </si>
  <si>
    <t>Antonio LTgarcalde</t>
  </si>
  <si>
    <t>…exterior de nación á Ración”: sobre lo que disertó D. Santiago Tejada.----,/Todo sistema gremial es nocivo á los progresos de la industria”: que fue el objeto de la disertación de D. Antonio LTgarcalde.__ „E1 libre comercio interior de granos proporciona una abun dancia tanto mas interesante , cuanto el artículo es de mayor consumo”: so bre lo que disertó D. Josef María Echarri.----„No puede conocerse la suma de los valores que posee una nación por la de su…</t>
  </si>
  <si>
    <t>Lu</t>
  </si>
  <si>
    <t>…de los augustos Prín cipes de Portugal por el P. Fr. Diego de Mello y Meneses, profesor regio de len gua latina; variado y aumentado considerablemente en esta tercera edición por Don Lu is de Mata Araujo, catedrático de latinidad, retórica y poética de la Real casa de pages de S. M., é individuo y secretario de la academia latina, quien la dedica al Rey nuestro Señor D. Fernando vii: un tomo en 8.° de buen papel y letra i 8 rs. en pasta. Se…</t>
  </si>
  <si>
    <t>Lu, Aquilino</t>
  </si>
  <si>
    <t>Aquilino Lu</t>
  </si>
  <si>
    <t>…D. Manuel Ribera, D. Máximo y D. Joaquín Vargas, Don Felipe Crespo, D. Francisco Canillas, D. Pedro Miguel, D. Genaro Sal gado, D. Cándido de la Fuente , D. Josef García Vázquez , D. Aquilino Lu nar, D. Pedro Gómez, D. Celedonio Casado, D. Vicente Berdion , Don Joa quín Lumeras, D. Tomas Asensio, D. Mateo Rodriguez, D. Valentín Ga veta, D. Pedro Martin, D. Antonio Fernandez, D. Andrés Redondo, Don Federico Movilla, D. Bernardo Huelga, D. Esteban Blan…</t>
  </si>
  <si>
    <t>Lucas, Josef</t>
  </si>
  <si>
    <t>Josef Lucas</t>
  </si>
  <si>
    <t>…dor mayor en el mencionado monasterio, y rematará bajo las con diciones que allí se expresarán en el mejor postor. Doña Rita Castella, bautizada y casada en la ciudad de Cádiz con D. Josef Lucas, natural de Barcelona, salió de esta ciudad de Cádiz en el año de 1800 con géneros, mercancías y otros efectos, sin saber su paradero desde el año de 1803, que solo se ha sabido por varios sugetos fue asesinada por los franceses en la retira da de Ocaña; y en…</t>
  </si>
  <si>
    <t>Luengas, Juan Francisco de</t>
  </si>
  <si>
    <t>Juan Francisco de Luengas</t>
  </si>
  <si>
    <t>…. Sr.: Elevo á las superiores manos de V. E. el adjunto parte original, que con fecha 12 de este mes me ha dirigido el teniente coronel gra duado de realistas fieles de artillería D. Juan Francisco de Luengas, coman dante interino de la primera sección volante, por el que se impondrá V. E. de las satisfactorias noticias que expresa, y de la venida del convoy de San Luis Potosí. „ Dios guarde á V. E. muchos años. Queretaro 14 de Diciembre de 1816 á las nueve y medi…</t>
  </si>
  <si>
    <t>Luengo, Mateo Vicente</t>
  </si>
  <si>
    <t>Mateo Vicente Luengo</t>
  </si>
  <si>
    <t>…elebrar exá menes públicos en la mañana del 17 del mes de Junio próximo en sus salas consistoriales, á que asistieron los individuos del cuerpo, presidido de su re gidor decano el Sr. D. Mateo Vicente Luengo, el deán de la insigne iglesia colegial, los prelados de las comunidades religiosas y otras personas de dis tinción. Y habiendo convocado á los maestros se presentaron estos con todos los discípulos de sus respectivas clases: se dió principio con un ligero di…</t>
  </si>
  <si>
    <t>Lugo, Bernardino</t>
  </si>
  <si>
    <t>Bernardino Lugo</t>
  </si>
  <si>
    <t>…blo de Jalapa de Tabasco. En el pueblo de Jalapa á 25 de Setiembre de 1815 el teniente de mi licias regladas D. Lorenzo Velero, administrador de justicia de este partido, el señor cura D. Bernardino Lugo, que al efecto se le pasó oficio de ruego y encargo, el diputado D. Juan Antonio Sala, teniente de la compañía de realistas fieles del mismo partido, que hace de síndico, y el capitán retirado D. Josef Antonio Quintero, y el capitán comandante de las armas D.…</t>
  </si>
  <si>
    <t>Lugo, Mariano</t>
  </si>
  <si>
    <t>Mariano Lugo</t>
  </si>
  <si>
    <t>…iatamente mi marcha: logrando llegar á las 10 y media de la noche después de ir le guas de camino, y adviniendo que los bandidos se habían fugado, hice seguir la caballería con su teniente D. Mariano Lugo, y el de igual clase de mi cuerpo D. Juan Granados para Ciricicuaro, donde, aunque se hallaba Gon zález, no se logró cogerlo, y sí su sable y caballos, con el teniente Brenes, que al siguiente dia pasé por las armas en el arroyo de Luna, é hice colgar para es…</t>
  </si>
  <si>
    <t>Luí</t>
  </si>
  <si>
    <t>…de Anrequera, D. Josef Salome García Iuente, canónigo de la catedral de Segovia, y director del Real hospicio de esta corte; D. Manuel Menoyo, tesorero de la provincia de Toledo; D. Luí* Peñalver, vecino de la Havana; D. Pedro oainz de Baranda, vocal de la junta de dirección de la Real casa de niños desamparados ; D. Santiago Antonio Ilarraza, capellán de honor de S. M , con opcion a la de numero; D. Ignacio Gutiérrez Solana, veedor general…</t>
  </si>
  <si>
    <t>Luis</t>
  </si>
  <si>
    <t>…en otras fabricas, acudieron dt Rey nuestro Señor por la Secretaría de Estado en el mes de Marzo del año próximo pasado de 1816 , suplicándole tuviese á bien permitir al expresado D. Luis pasase á dicha ciudad á enseñar su facultad, en atención á hallarse aquellas fábricas en la mayor decadencia por la escasez que se notaba de personas instruidas en el arte de teñir- Y S. M., después de haber oido el dic támen de la Real sociedad económica mat…</t>
  </si>
  <si>
    <t>…$ de Mayo, El día 6 del corriente dieron la vela de este puerto para el de Callao de Lima, bajo el convoy de la fragata de guerra la Esmeralda, al mando del capitán de igual clase D. Luis, Coig las siguientes fragatas mercantes: la Cleo• paira, la Perla, la Tagle, el Comercio, la Primorosa Mariana, la Vigarrma, la Minerva, el S* Josef9 por otro nombre el Rey Fernando, la Cas-</t>
  </si>
  <si>
    <t>…n, de dar á Sf. E. parte que está en nuestro poder el fuerte de Cuiristaránalias S. Miguel, como ve rá V. E. por el parte que acabo de recibir de mi amigo y compañero el te niente coronel D. Luis. Quintanar. Muchos trabajos nos economiza esta rea-</t>
  </si>
  <si>
    <t>…presenta los retratos de los Serraos. Sres. Infantes de España Don Cárlos María Isidro de Borbon y Dona María Francisca de Asís de Braganza, pin tada y dibujada por el natural por D. Luis de la Cruz y Ríos, pintor de S. M., y grabada á puntos por Bosehnan de Bilmon, dedicada á SS. AA. SS., en cuartilla de marca mayor, á 10 rs. en negro y á 20 iluminada. Se hallará en la librería de la viuda de Goveo, calle de las Carretas; en la de Hurtado en…</t>
  </si>
  <si>
    <t>…inguieron mucho en ella los dos mayores Salvador y Gordilho. F el discurso de la noche se dispersaron los insurgentes, á quienes perógu1 los cuerpos mandados por el sargento mayor D. Luis, y los c apirj</t>
  </si>
  <si>
    <t>Luisa, Isabel María</t>
  </si>
  <si>
    <t>Isabel María Luisa</t>
  </si>
  <si>
    <t>…lealtad y amor. „La universidad ve ya las bendiciones que el cielo ha comenzado á der ramar sobre el matrimonio de V. M. , dándole por fruto primero á la Sere nísima Sra. Infanta Doña Isabel María Luisa; y animada de los sentimientos que deben serla propios ofrece á V. M. que si en medio mismo de la pasa da revolución supo defender los derechos del altar y del trono, atacados por un extrangero, vuelto el orden continuará enseñando, como lo hace, á la ju</t>
  </si>
  <si>
    <t>Luisa, María</t>
  </si>
  <si>
    <t>María Luisa</t>
  </si>
  <si>
    <t>…arle. En los dias queen 1785 permaneció el P. Andrés en Florencia, debió singulares expresiones de aprecio al gran duque de Toscana Leopoldo y á su muger la Sra. Infanta de España Doña María Luisa, que se rerieren en el tomo i.° de sus viages, carta 5.a; y cuando elevada ya esta Señora al trono del imperio pasó por Mantua en el mes de Mayo de 1790, no obstante de que casi no le bastaba el tiempo para admitir á los tribunales y á tantos/prelados eclesiá…</t>
  </si>
  <si>
    <t>…inúa progresando en su deseado restableci miento á beneficio del egercicio moderado que hace S. M. por las espaciosas salas de su Real aposento; al paso que la Serma. Sra. Infanta Doña María Luisa se robustece y desplega sus facultades por efecto de la abundante y sana nutrición que le suministra su augusta Madre. El gobernador de Ocaña ha tenido la honra de felicitar á S. M. por el feliz alumbramiento de la Reina nuestra Señora en los términos siguien…</t>
  </si>
  <si>
    <t>…ardaxí y Azara, embajador extraordinario de S. M. cerca de la corte de Turin, que en el dia 22 del pasado tomó posesión del ducado de Lnca en nombre de S. M. la Iiifanta de España Doña María Luisa, de cuya plausi ble noticia se ha enterado el Rey nuestro Señor con particular interes y com placencia. A consecuencia de haberse erigido el estado de Lúea en ducado, seguti el art. 101 del tratado de Viena, na tomado lá nueva Soberana este título, habiéndose…</t>
  </si>
  <si>
    <t>Luisa, María Isabel</t>
  </si>
  <si>
    <t>María Isabel Luisa</t>
  </si>
  <si>
    <t>…ado á las sie te de 1a tarde sin haber tenido la menor novedad en su importante salud. S. A. R. sigue perfectamente. Idem del 2j&gt;. La Reina nuestra Señora y la Serma. Sra. Infanta Doña María Isabel Luisa continúan sin la menor novedad en su importante salud. Idem del zo. La Reina nuestra Señora y la Serma. Sra. Infanta Doña María Isabel Luisa siguen perfectamente bien. Idem del $1. El estado de salud de la Reina nuestra Señora es el mas satisfactorio: desde e…</t>
  </si>
  <si>
    <t>…ñanza pública, les dispensará sin duda su poderosa protección. Madrid 3 de Setiembre. Varíe facultativo del dia. i.° de Setiembre. La Reina nuestra Señora y la Serma. Sra. Infanta Doña María Isabel Luisa siguen sin novedad en su importante salud. Idem del dia 2. La Reina nuestra Señora continúa progresando en su deseado restableci miento á beneficio del egercicio moderado que hace S. M. por las espaciosas salas de su Real aposento; al paso que la Serma. Sra.…</t>
  </si>
  <si>
    <t>949 ARTICULO DE OFICIO. Con motivo del feliz parto de la Reina nuestra Señora y nacimiento de la Señora Infanta Doña María Isabel Luisa, se ha dignado conceder ei Rey nuestro Señor las siguientes gracias, que se han expedido por la primera se cretaría de Estado. El Rey se ha servido dirigir al Sr. secretario de Estado y de Gobierno de la secretaría del Consejo de Estado el Real decreto siguie…</t>
  </si>
  <si>
    <t>…pesa mas que 50 libras, y cuesta á lo mas cuatro luises. ESPAÑA, Madrid $ de Setiembre. Parte facultativo del día j del corriente. La Reina nuestra Señora y la Serma. Sra. Infanta Doña María Isabel Luisa continúan sin novedad en su importante salud. Idem del dza 4. La Reina nuestra Señora y la Serma. Sra. Infanta Doña María Isabel Luisa siguen sin novedad en su importante salud. El martes 2 del corriente se dignaron el Rey nuestro Señor y el Serení simo Sr. I…</t>
  </si>
  <si>
    <t>…ue reciben. Madrid 8 de Setiembre. Parte facultativo del dia 5 del corriente. La Reina nuestra Señora continúa sin la menor novedad en su impor tante salud. La Serma. Sra. Infanta Doña María Isabel Luisa sigue robuste ciéndose muy notablemente. Idem del dia ó". La Reina nuestra Señora y ia Serma. Sra. Infanta siguen sin novedad al guna en su importante salud. Idem del dia y. La Reina nuestra Señora y la Serma. Sra. Infanta Doña María Isabel Luisa continúan si…</t>
  </si>
  <si>
    <t>…ias en lugar del difunto Warner, célebre mineralogista. ESPAÑA. Madrid jo de Setiembre. Parte facultativo del dia 8 del corriente. La Reina nuestra Señora y la Serma. Sra. Infanta Doña María Isabel Luisa continúan sin novedad en su importante salud. El dia 4 de este mes tuvieron el honor de ser admitidos á besar la Real mano de S. M. y de cumplimentarle por el feliz alumbramiento de la Reina nuestra Señora, en nombre de la ciudad de Mondoñedo, los Sres. D. Ra…</t>
  </si>
  <si>
    <t>977</t>
  </si>
  <si>
    <t>…tado , y elogió el zelo y constante desvelo del digno profesor. Madrid 12 de Setiembre. Parte facultativo del dia 9 del corriente. La Reina nuestra Señora y la Serma. Sra. Infanta Doña María Isabel Luisa siguen sin la menor novedad en su importante salud. Idem del dia 10 La Reina nuestra Señora y la Serma. Sra. Infanta Doña María Isabel Luisa continúan sin novedad en su importante salud. Idem del dia ir. La Reina nuestra Señora y la Serma. Sra. Infanta Doña M…</t>
  </si>
  <si>
    <t>…panario de dicho pueblo la noche del 9 al 10 de Mayo. ESPAÑA. Madrid 1$ de Setiembre. ; Parte facultativo del dia 12, de este mes. La Reina nuestra Señora y la Serma. Sra. Infanta Doña María Isabel Luisa continúan sin novedad en su importante salud. La Reina nuestra Señora salió á misa el domingo 14 como se había anunciado. A las r t del dia todas las disposiciones estaban tomadas para la ceremo nia : desde la sala de Guardias del Rey nuestro Señor hasta la R…</t>
  </si>
  <si>
    <t>…re. Parte facultativo del dia 30 del pasado. La Reina nuestra Señora continua sin la menor novedad en su impor tante salud, criando con la mayor comodidad á la Serma. Sra. Infanta Doña María Isabel Luisa, cuya robustez y rápido desarrollo son la prueba mas convincente de la abundancia y superior calidad del alimento que recibe de su augusta Madre. El dia 19 del pasado tuvo la honra de felicitar al Rey nuestro Señor por el feliz alumbramiento de la Reina nuest…</t>
  </si>
  <si>
    <t>…la Real Persona de V. M. y de su augus ta familia, ha tenido la mayor complacencia al ver realizada tan felizmente su deseada sucesión en el nacimiento de la Serrna. Sra. Infanta Doña María Isabel Luisa, por cuyo importante beneficio y el de la conservación de la salud de S. M. la Reina nuestra Señora rindió las mas reconocidas gracias al Dios délas misericordias, á quien incesantemente ruega las continúe mul tiplicando sus beneficios, y asegurando la felici…</t>
  </si>
  <si>
    <t>…usto. Madrid 24 de Octubre. El dia 1 f del corriente tuvieron la honra de felicitar á S. M. por la ciudad de Santander, con motivo del augusto nacimiento de la Serma. Sra. Infanta Doña María Isabel Luisa, el'Excmo. Sr. D. Juan Esteban Lozano de Tor res, regidor perpetuo de dicha ciudad; el marques de Valbuena, regidor bie nal, y D. Francisco de Durango y Orruzar, diputado extraordinario de la misma en esta corte; y el primero dijo: ,,Señor: La siempre noble y…</t>
  </si>
  <si>
    <t>…o amor á V. M., me ha concedido la agradable comisión de felicitar á V. M. por el deseado venturoso alumbramiento de la Reina nues tra Señora, dando á luz á la Serma. Sra. Infanta Doña María Isabel Luisa, que educada á la vista de las virtudes de su augusta Madre, y de los heroicos egemplos de V. M., va á ser la dicha de la nación. Tan feliz suceso ha cau sado, Señor, en Valencia el gozo general que merece su grande importan cia. Dígnese V. M. de admitir beni…</t>
  </si>
  <si>
    <t>…á los gabinetes que se les tenían preparados para que descansasen, y la Reina nuestra Señ-ora, que constantemente habia llevado en sus brazos á la reciennacida y preciosa Infanta Doña María Isabel Luisa, dando egemplo de su amor maternal, la dejó en su cuarto, pasando con el Rey nuestro Señor y Sermos. Sres. Infan tes á la mesa en que se les sirvió el almuerzo preparado en la espaciosa pie za comedor de los caballeros cadetes. De allí pasaron SS. MM. y AA. á…</t>
  </si>
  <si>
    <t>…puede dejar, en unión de todos sus dignos habitantes, de re gocijarse con V. M. por el feliz alumbramiento de la Reina , su Señora, y na cimiento dichoso de la Serma. Sra. Infanta Doña María Isabel Luisa. Prospe re el Todopoderoso la generación de V. M., dilatándola prodigiosamente basta los siglos mas remotos en beneficio del trono español que tan digna mente ocupa, y á que ha sido restituido por la divina Providencia, habien do oido los sinceros y ardientes…</t>
  </si>
  <si>
    <t>…Justicia, he tenido á bien expedir otro in dulto á todos los presos que se hallasen dentro del reino é islas adyacentes con motivo del feliz nacimiento de mi amada Hija la Infanta Doña María Isabel Luisa, declaro que el indulto que se expide ahora por la fecha de esta mi Real cédula para los militares delincuentes se considere como equivalente al expresado de 10 de Setiembre último, y al de 29 del mismo mes del año próximo pasado de 1816; yá su consecuencia e…</t>
  </si>
  <si>
    <t>Lujan, Justo</t>
  </si>
  <si>
    <t>Justo Lujan</t>
  </si>
  <si>
    <t>…troso acontecimiento ocurrido en el pueblo de Porlamar el dia que lo evacuaron los rebeldes, habiendo asesinado al teniente coronel gradua do y capitán del regimiento de Barbastro D. Justo Lujan,tres españoles eu ropeos y dos americanos que tenían prisioneros. Concluye el general en gefe recomendando particularmente al teniente de navio D. Andrés Tosta, al de fragata D. Francisco Bosico, á los alfére ces de navio D, Juan Sollozo, D. Antonio Villalba…</t>
  </si>
  <si>
    <t>Lujan, Miguel</t>
  </si>
  <si>
    <t>Miguel Lujan</t>
  </si>
  <si>
    <t>…on sejo y Cámara de S. M., su presidente , D„ Leonardo Gil de la Cuesta, y Don Bernardo González Alvarez, fiscal y procurador general, y de los cuatro caballeros D. Josef Hidalgo, D. Miguel Lujan, D. Bartolomé Ortiz de Paz y D. Amaro García Olalla, que representaban las cuatro sierras nevadas ó partidos de Soria, Cuenca, Segovia y León de que se compone dicho hon rado concejo; y el primero dijo: ,,Señor: El honrado concejo de la Mesta (ó hablando segú…</t>
  </si>
  <si>
    <t>Lujan, Pedro Miguel</t>
  </si>
  <si>
    <t>Pedro Miguel Lujan</t>
  </si>
  <si>
    <t>…rincipal. Ló comunico á V. de Real orden para su noti cia y cumplimiento.. Madrid 25 de Noviembre de 1817. El Rey se ha servido nombrar en el territorio de las Ordenes militares á D. Pedro Miguel Lujan para la vara de alcalde may®r de la villa de Villanueva de Alcardete, de nueva creación. ■! ———————TIA. ^i En virtud de providencia del Sr. D. Joaquín Almazan, del Consejo de S. M., primer teniente corregidor de esta muy heroica villa, se cita, llama y emplaz…</t>
  </si>
  <si>
    <t>Luna, Dimas de</t>
  </si>
  <si>
    <t>Dimas de Luna</t>
  </si>
  <si>
    <t>…, señalándose las señoras de la casa del comandante D. Josef Julián Ximenez de Menzana Doña Dolores Romero, su esposa, Doña María Ro mero , Doña Josefa Perez, Doña Juana Landeros, Doña Dimas de Luna, María Máxima y las criadas, á quienes el Excmo. Sr. virey concedió el uso de una cinta blanca con cantos de color de oro. EJ 21 del mismo Octubre marchó en auxilio de este pueblo el capitán D. Manuel Campos, quien hallando á los rebeldes en número de 400, lo…</t>
  </si>
  <si>
    <t>Luque, Fernando Ramírez</t>
  </si>
  <si>
    <t>Fernando Ramírez Luque</t>
  </si>
  <si>
    <t>…recibo nos dará aviso* Madrid 25 de Junio de 1817. Teniendo en consideración el Rey nuestro Señor los brillantes y arriesga dos servicios contraídos en favor de la justa causa por D. Fernando Ramírez Luque, cura beneficiado de Lucena, y por los vecinos de la misma ciudad D. Amonio Ortiz Repiso, brigadier de los Reales egercitos; el coronel Don Antonio Polo Valenzuela, y el maestranre de Granada D. Francisco Asís de la Guerra, ha venido en concederles una medall…</t>
  </si>
  <si>
    <t>Luvian, Alejandro</t>
  </si>
  <si>
    <t>Alejandro Luvian</t>
  </si>
  <si>
    <t>…particular. „El 24 continué mi marcha contra la chusma con las precauciones necesa rias , y media legua antes de llegar al paso del rio dispuse que el capitán de realistas fieles D. Alejandro Luvian fuese con 20 infantes por el flanco derecho, y por el izquierdo con igual número el teniente del mismo cuerpo D. Josef Vergara , dándoles dos horas de tiempo para que pudiesen pasar aquellos mon tes inaccesibles; y oportunamente me dirigí á las despreciables…</t>
  </si>
  <si>
    <t>…l momento , aprovechando la claridad de la noche con la misma madera que los rebeldes tenían allí al mis mo efecto. „El 25 , quedando aquel punto á mi satisfacción, y al cargo del capitán D. Alejandro Luvian, me dirigí á la mesa de S. Diego con 40 infantes, y á la media hora de camino me hicieron varias descargas en dos emboscadas que me tenían en el paso del rio de Apapantlílla en su entrada y salida; pero en vano fueron sus esfuerzos, porque solo el desprecio d…</t>
  </si>
  <si>
    <t>Luvian, Josef María</t>
  </si>
  <si>
    <t>Josef María Luvian</t>
  </si>
  <si>
    <t>…Apodaca.” 2.0 Del teniente coronel y comandante D. Francisco de las Piedras. ,, Excmo. Sr-: Acompaño á V. E. para su debido conocimiento el diario de las operaciones militares del capitán D. Josef María Luvian, comandante militar de Huauchinango , comprensivo desde el 21 hasta el 29 del presente Noviembrej por él verá V. E. los adelantamientos de aquella sección, que seguramente es acreedora al aprecio de V. E., persuadiéndome que con la muerte del cabecilla Alvare…</t>
  </si>
  <si>
    <t>J8i parte original del capitán D. Josef María Luvian, comandante militar de Huauchinango, por el cual verá V. E. se ha presentado á la Real gracia del indulto en Xicotepeque Guillermo García, uno de los principales capitanes del traidor Aguilar con varios de su gavilla, que desengañados de la fatuidad de su rev…</t>
  </si>
  <si>
    <t>…Diciembre. Parte del teniente coronel y comandante D. Francisco de las Piedras. „ Exorno. Sr.: Para el debido conocimiento y satisfacción de V. E. le incluyo el parte original del capitán D. Josef María Luvian, comandante militar de Huauchinango.</t>
  </si>
  <si>
    <t>M, Francisco</t>
  </si>
  <si>
    <t>Francisco M</t>
  </si>
  <si>
    <t>…con la Reina nuestra Señora, el limo. Sr. D. Anto nio María Izquierdo, ministro honorario de la Real cámara de Castilla , y secretario del Sermo. Sr. Infante D. Carlos María, y el Sr. D. Francisco M ¡ría Riesco , inquisidor del tribunal de Corte; en cuyo acto ratificaron los testimonios de lealtad que á S. M. manifestaron cuando le felicitaron por el ajuste y convenio de dichos Reales enlaces, repitiendo de nuevo los home najes del respeto y rendida sumi…</t>
  </si>
  <si>
    <t>M, Josef de</t>
  </si>
  <si>
    <t>Josef de M</t>
  </si>
  <si>
    <t>…mas intermisión que la ya insinuada de la guerra. El director general no perdió momento en anticipar por expreso tan plau sible noticia al subinspector del departamento de Segovia D. Josef de M &gt;nt&lt;rSalazar, teniente general de los Reales egércitos, enviando ademas un ge fe del cuerpo allí para que se dispusiera lo conveniente al mejor recibimiento y obsequio de SS. MM y AA., y habiéndose prestado con el mayor esmero á concurrir con sus auxilios el…</t>
  </si>
  <si>
    <t>M, Príncipe de</t>
  </si>
  <si>
    <t>Príncipe de M</t>
  </si>
  <si>
    <t>…cidas de los rios en aquellos parages causan grandes retar dos en las jornadas , el viage está sin embargo arreglado de manera que SS. MM. llegarán á Gratz el i.° de Noviembre. El ministro Príncipe de M.-tternich, cuya salud se halla casi enteramente restablecida, está de vuelta de Lauschirz en Hungría. El domingo último dio un gran banquete en celebridad de los dias de nuestro Soberano, á que asis tieron los individuos del cuerpo diplomático que se hallan en…</t>
  </si>
  <si>
    <t>Ma</t>
  </si>
  <si>
    <t>…Rea! audiencia de Granada compues ta de su presidente el Exorno. Sr conde de Montijo y de los oidores D. Jo sef López de Gozar y D. Tosef María Manescau , y del alcalde del crimen D. Ma nuel Josef de Vilches; de los cuales el primero en un breve y enérgi co discurso en portugués tuvo la honra de felicitar á S. M. y A. por su feliz arribo á la península, y sus faustos enlaces con el Re* nuestro Señor y su au gusto hermano el Sermo. Sr. Infant…</t>
  </si>
  <si>
    <t>k;4 y respeto , y íe felicita por su efectuado enlace con la Serma. Sra. Doña Ma ría Isabel de Braganza, Infanta de Portugal. „ Borja, Señor, siempre fiel en conservar y defender los derechos de V. M., y por haberlo sido con tanta constancia á principios del siglo último ni augusto Abuelo, de V. M. el Sr. D. Felipe v, le dispensó diferent…</t>
  </si>
  <si>
    <t>…entes: un solar en el si tio del Corral, lindante con los mismos: 2i| obreros de tierra labrantía en dife rentes puntos del pueblo, lindantes también con tierras de dichos María y D. Ma nuel Guardamino ; y 37 pies de castaños también en diversos puntos de dicho lu gar, tasadas todas las referidas fincasen 23$ rs. en dinero metálico. Quien quisiere hacer postura á dichas fincas acudirá á la referida escribanía, donde se admitirán las que se h…</t>
  </si>
  <si>
    <t>…nerales con arreglo á lo prevenido en Real orden de 17 de Junio del año pasado de 1815 , acerca del descuento de años de servicio que debía hacer en la hoja que estaba formando al brigadier D. Ma nuel de villalba , teniente de Rey de esta plaza, del tiempo que fue coman dante de los inválidos inhábiles de Lugo y Toro , conforme al artículo segun do del reglamento de la Real y militar orden de S. Hermenegildo de 10 de Julio del citado año ; y teniendo…</t>
  </si>
  <si>
    <t>…26 hombres de todas clases, á quienes se le he concedido. „Dios guarde á V. muchos años. Hacienda de Laureles 25 de Noviem bre de 1816. = Onofre Valiente. =Sr. teniente coronel y comandante D. Ma tías Martin y Aguirre.” El Excmo. Sr. virey en vista de la recomendable conducta del virtuoso padre de la doncella á quien quería robar el rebelde González, ha contesta do entre otras cosas al teniente coronel Aguirre lo que sigue: ,,Por último contemplando m…</t>
  </si>
  <si>
    <t>…os de su Real servicio é intereses, y del castigo que en caso contrario se les impondrá. Madrid i.° de Julio de 1817. El Rey nuestro Señor se ha servido conceder su Real permiso á D. Ma teo Felipe Sánchez, del Consejo de S. M,, su secretario mas antiguo del tri bunal de la Rota de la Nunciatura apostólica, y supernumerario con entra da y egercicio en el secreto del santo oficio de la Inquisición de corte , para el uso de la venera de caballe…</t>
  </si>
  <si>
    <t>…García de Pizarro cruz de comendador en la misma orden ; y cruces de caballeros en ella á D. Juan Josef Gárate, presbítero; ai brigadier D. Andrés de la Rúa; ai capitán de fragata D. Ma nuel González de la Vega ; á D. Eusebio García , capitán de patriotas distin guidos de Méxicio; á D. Antonio García Jurado; al teniente de navio Don Félix Gastambide ; al teniente coronel D. Antonio Conti, y al capitán de milicias disciplinadas D. Eugenio Gur…</t>
  </si>
  <si>
    <t>…or de ella, tienen el honor de postrar se á L. R. P. de V. M. y felicitarle por el feliz y deseado alumbramiento de la Reina nuestra Señora, dándonos á luz á la Serma. Sra.Infanta Doña Ma ría Isabel Luisa, que heredera de las virtudes de sus amados Padres, será la envidia de la España y aun de todas las naciones. „ La villa del Pozuelo de Calatrava luego que supo tan fausta noticia se trasportó de gozo al considerar que nuestro augusto y desea…</t>
  </si>
  <si>
    <t>…lia mandado sacar a pú blica subasta los frutos, rentas y demas derechos de que se compone el señorío de la villa de Sueca, que en el reino de Valencia corresponde al secuestro de D. Ma nuel de Godoy, por tiempo de cuatro años, que empezarán á correr y contarse des de i,° de Enero del próximo viniente de 1818, y fenecerán en 31 de Diciembre de 1811. Si alguna persona quisiere hacer postura acudirá al tribunal de la inten dencia de aquel egér…</t>
  </si>
  <si>
    <t>132 4 El Rey nuestro Señor se ha servido conceder su Real permiso á D. Ma tías González Soler, cura párroco de Villarubia de los Ojos de Guadiana, para que pueda usar la condecoración de la flor de Lis con que le ha agra ciado S. M. Cristianísima por su fidelidad y amor á la augusta casa de los Borbones. Por providencia del Sr. D.…</t>
  </si>
  <si>
    <t>…D. Josef Félix Flores Alatorre ; y para la magistral de la catedral de la Puebla de los Angeles, vacante por pro moción á la mitra de ella del Dr. D. Antonio Joaquín Pérez, al Dr. D. Ma nuel Perez y Suarez. Habiendo fallecido la Archiduquesa Hermfna, esposa del Archiduque Jo sef Palatino de Hungría, se ha dignado mandar S. M. que la corte se vista de luto durante nueve dias, que deberán empezar á contarse desde el viernes próximo 12. El expe…</t>
  </si>
  <si>
    <t>Ma, Carlos</t>
  </si>
  <si>
    <t>Carlos Ma</t>
  </si>
  <si>
    <t>…Sr.=Benito de Armiñan. = Excmo. Sr. virey de Nueva-España. 2.0 Excmo. Sr.: Cuando disponía la salida para la laguna de Palmas de los 350 hombres al mando de mi segundo el teniente coronel D. Carlos Ma ría Llorenre para batir á los enemigos que subsistían en aquella fortificación, recibo en la mañana de hoy por dos presentados de aquel mismo punto la noticia de Haberse fugado todos en la noche del 24, á consecuencia del escar miento que padecieron en la exp…</t>
  </si>
  <si>
    <t>Ma, Josef</t>
  </si>
  <si>
    <t>Josef Ma</t>
  </si>
  <si>
    <t>…el Muñoz, todos de Lebrija, y D. Francisco de Paula González y Peña, de Sanlucar de Barrameda : en gramática castella na D. Josef Perez de la Torre de las montañas de Santander, y D. Josef Ma ría Moreno, de Xerez de la Frontera ; y por último en ortografía castellana é historia de la religión D. Francisco de Paula Osuna, de Moron de la Fron tera , y D. Josef Martínez y Piedra , de la ciudad de Sanlucar de Barrameda. La magnificencia con que el pre…</t>
  </si>
  <si>
    <t>…Sta. Coloma, grande de España de primera cla se, gentilhombre de cámara de S. M., y los Sres. D. Cristóbal de Perosa, exento del Real cuerpo de guardias de la Persona del Rey , y D. Josef Ma ría de Cueto, coronel de caballería, teniente coronel del regimiento caballe ría del Príncipe , tuvieron la honra el dia 5 de Noviembre del año próximo pasado de felicitar á S. M. por su augusto enlace con la Serma. Sra. Doñg María Isabel , Infanta de Portuga…</t>
  </si>
  <si>
    <t>…rnumerario del regimiento infantería deValen£ay; D. Manuel Montalvo y Tabares, caballero de la Real y militar de S. Her menegildo, coronel del regimiento infantería de Vaíencay, y D. Josef Ma ría Puente, alcalde de la Real casa y corte de V. M., tienen el alto honor de presentarse á sus Reales pies en nombre de la muy noble villa de Peñafiel, provincia de Castilla la Vitja, con dos objetos, el primero para felicitar á V. M. por su augusto enlace c…</t>
  </si>
  <si>
    <t>Ma, Josef Santa</t>
  </si>
  <si>
    <t>Josef Santa Ma</t>
  </si>
  <si>
    <t>…ue cubrían el que llaman del Durazno que está á tiro de pistola, determiné que á las tres de la mañana del dia siguiente lo emprendiese el teniente coronel de infantería de México D. Josef Santa Ma rina, mayor de órdenes de esta división, con cuatro compañías del batallón de Castilla. Este bizarro gefe bajó á dicha hora por un despeñadero, vadeó el rio con el agua al pecho, y subió al lado opuesto sin ser sentido con la pérdida de un soldado despeñado;…</t>
  </si>
  <si>
    <t>Ma, Juan</t>
  </si>
  <si>
    <t>Juan Ma</t>
  </si>
  <si>
    <t>…roveerá, previo examen, en concurso de opositores, que se ha de hacer en todo el próximo mes de Agosto de este año. Los pretendientes podrán dirigir sus memoriales por Valmasedá a D. Juan Ma nuel Gil, cura beneficiado del lugar de Villasuso, en el mismo valle. Se halla vacante la plaza de cirujano latino titular de la villa de Arjona, reino de Jaén, partido de Martos, la cual tiene de dotación 400 ducados anuales, cobra dos de propios por tercios…</t>
  </si>
  <si>
    <t>Ma, María</t>
  </si>
  <si>
    <t>María Ma</t>
  </si>
  <si>
    <t>…de Estado y del Despacho de Ha cienda lo que copio: Por Real resolución de 7 del actual se ha servido el Rey nuestro Señor conceder, á consulta del Consejo supremo de la Guerra, á Doña María Ma nuela Gertrudis de Mendizabal, viuda del sargento mayor que fue del regi miento infantería de la Albuhera D. Miguel Barber, la pensión de 4© rs. devn. al año que la corresponde en el monte pió militar respectiva á dicho em pleo, con que desgraciadamente falle…</t>
  </si>
  <si>
    <t>Ma, Santa</t>
  </si>
  <si>
    <t>Santa Ma</t>
  </si>
  <si>
    <t>…ste pueblo, en el que dejaré un fuerte destacamento. Aquí tenían los bandidos fábrica de pólvora en la sacristía de la iglesia. „Son dignos de particular recomendación el teniente coronel Santa Ma rina como todos los oficiales y tropa que asistieron á esta expedición. „Dios guarde á V. S. muchos años. Huatusco y Febrero 17 de 1817.= Francisco Hevia. = Sr. brigadier D. Ciriaco de Llano.” El Excmo. Sr. virey ha mandado dar las debidas gracias al coronel…</t>
  </si>
  <si>
    <t>Mac-Donald</t>
  </si>
  <si>
    <t>…harina de América que com pró en Liverpool, y cuyo valor ascendía á 288® rs. para que la distribuya entré tos pobres de las parroquias de su estado de Wicklau. Sir Home Popham, el coronel Mac-Donald, el capitán Marriat, de la marina Real, y Mr. Conolly van á publicar sus diferentes trabajos telegrá ficos. El último de estos autores sostiene que es posible comunicarse por me dio de señales proporcionadas desde S. Jorge ó la montaña de Windham, en la isla…</t>
  </si>
  <si>
    <t>Mac-Glashau</t>
  </si>
  <si>
    <t>1378</t>
  </si>
  <si>
    <t>…e su salida de Sto. To mas, encontró un barco armado, que le mandó ponerse al pairo, después de haberle tirado un balazo , que le causó algunas averías. Habiendo ido á su bordo el capitán Mac-Glashau supo que el barco era un corsario insurgente, cuyo espitan le mandó permanecer al pairo cerca del corsario hasta el dia siguiente. Habiendo vuelto abordo de su buque el capitán Mac-Glashau re solvió defenderse á cañonazos , animado con la oferta que le hicier…</t>
  </si>
  <si>
    <t>Macarrney</t>
  </si>
  <si>
    <t>…viajar que á la de lord Macartney, pues no se ha impedido ahora á los ingleses internarse en las ciudades que se hallaban al paso. El camino fue en gran parte el mismo que siguió lord Macarrney, aunque en la provincia de Kian-Nan han llevado otra ruta diferen te. La embajada se embarcó en el gran rio Jaurac, y algunos ingleses reci bieron permiso de pasar á la ciudad de Nan-Kin. El Emperador recibió los retratos del Rey y del Príncipe Regente por co…</t>
  </si>
  <si>
    <t>Macarthy</t>
  </si>
  <si>
    <t>2l6 Ya se dio principio en la casa de Bullion á la venta de la rica librería del difunto conde Macarthy; y si se ha de juzgar por el ansia con que acuden las personas inteligentes, y que tienen dinero , la venta debe ser pronta y bue■na. Ya se ha vendido en 1500 francos un magnífico Quintiliano en un tomo en folio. El Rey, que no omite ocasión de proteger las l…</t>
  </si>
  <si>
    <t>Macartney</t>
  </si>
  <si>
    <t>…on toda la distinción posible, y que en consecuencia había dado orden de que estuviese pronta una escolta á fin de acompañar al embajador desde Zien-Sing, puerto en que desembarcó lord Macartney, hasta Pekín. En el camino estaban ya dadas todas las disposi ciones para la comodidad del embajador y de su comitiva. FRANCIA. Taris 2 y de Diciembre. SEGUNDO CONSEJO DE GUERRA. PERMANENTE. Causa del teniente general Savary, duque de Róvigo. Después de haber…</t>
  </si>
  <si>
    <t>…jetarse á los estilos de la corte, hubiera dispensado las cere monias que se exijen á otros extrangeros, siguiendo el egemplo de su abuelo, quien habia favorecido del mismo modo á lord Macartney, para manifestar su especial consideración al representante de la nación inglesa. Todos convie nen en que lord Amherst no tuvo parte en las respuestas contradictorias y falaces que dieron al Emperador ios mandarines, y que todo fue invención de estos, aunque…</t>
  </si>
  <si>
    <t>…de inter rumpir su comunicación con la costa, resolvió tomar la misma posición que habia ocupado el navio de guerra el León , que condujo las personas empleadas en la embajada de lord Macartney. El almirante chino, sorpren dido al ver las maniobras de la fragata, empleó los ruegos y las amenazas para detenerla hasta que recibiese noticias de Cantón. Ultimamente intimó por medio del interprete al capitán Maxwell que mandaría á los buques de guerra ha…</t>
  </si>
  <si>
    <t>…nsecuencia es probable que llegue de un dia á otro. Aunque la embajada no fue admitida en la corte se la trató con distin ción, concediéndola mas franqueza para viajar que á la de lord Macartney, pues no se ha impedido ahora á los ingleses internarse en las ciudades que se hallaban al paso. El camino fue en gran parte el mismo que siguió lord Macarrney, aunque en la provincia de Kian-Nan han llevado otra ruta diferen te. La embajada se embarcó en el…</t>
  </si>
  <si>
    <t>Mackworth</t>
  </si>
  <si>
    <t>…ó que se publicasen los decretos de aprobación. GRAN BRETAÑA. Londres 22 de Setiembre. La gaceta de la isla Trinidad trae un rasgo de humanidad y denuedo qtie honra sobremanera al teniente Mackworth. La corbeta de S. M. la Bruzen, que partió de aquella colonia para la Barbada con una brisa muy fresca, ca minaba á toda vela , cuando un marinero cayó en el mar. Él teniente se arrojó inmediatamente al agua, y tuvo la felicidad de agarrar al marinero que es…</t>
  </si>
  <si>
    <t>Macqueen</t>
  </si>
  <si>
    <t>…vió el capitán Weatherall sus lanchas para traer á bordo las mugeres, los muchachos y cuantos hombres cupiesen. El 12 volvieron con el mayor Macpherson y su muger,con la muger del capitán Macqueen, con el doctor Brown y su hija, con los tenientes Mackenzie y Maccrurnmen, y con otras muchas mugeres y niños; pero aun quedaron en la isla muchas personas, á quienes no se pudo recoger á causa del viento. Al otro dia , el ca pitán Weatherall dió la veía para…</t>
  </si>
  <si>
    <t>Madrid, Genaro</t>
  </si>
  <si>
    <t>Genaro Madrid</t>
  </si>
  <si>
    <t>…a en el sitio de la Humbria del Cerro Palomo, y carril de la cuesta Mermeja, linde á levante, tierra de la capellanía de los Molinas, y al norte tajones de la capellanía que posee D. Genaro Madrid, de caber 8 fanegas y un celemín del propio marco, que á 110 rs. cada una , en que han sido valuadas, ascienden á 889 rs. y 6 mrs.: otra tierra en el término de Alambra , y sitio de las Peñas Ahumadas, linde de la dehesa del Campillo, y herederos de Juan Rojo…</t>
  </si>
  <si>
    <t>Madrid, Josef Fernandez</t>
  </si>
  <si>
    <t>Josef Fernandez Madrid</t>
  </si>
  <si>
    <t>…fes de la insurrección, fueron perdonados, aunque no se les concedió indulto, D. Antonio Arboleda, go bernador de Caly ; D. Josef Murgueitio, comandante de las armas de Cartago, y D. Josef Fernandez Madrid, penúltimo presidente del congreso, los cuales imploraron la clemencia dei vencedor; no obstante que el "último de ellos se explicaba de un modo y obraba de otro, como puede verse en las gacetas de Santa Fe, donde se ha publicado la correspondencia. Asegurada…</t>
  </si>
  <si>
    <t>Maes, Francisco de Paula</t>
  </si>
  <si>
    <t>Francisco de Paula Maes</t>
  </si>
  <si>
    <t>…xaminadores y otro de los concurrentes , los cuales añadieron siete duros al premio que le había correspondido. Díó gradas en seguida el corregidor al digno profesor de la escuela D. Francisco de Paula Maes tre, cuyas recomendables prendas, conocimientos y tino propio para la en señanza acababan de acreditarse con tanta brillantez: exhortó á los alumnos</t>
  </si>
  <si>
    <t>Maeso, Cayetano Luis</t>
  </si>
  <si>
    <t>Cayetano Luis Maeso</t>
  </si>
  <si>
    <t>…últimos tenedores, números, valor y creaciones son á saber: De 300 pesos de Enero de 1808, núms. 85380, 85834,96511 ,96879,96926 y 97023 Don Francisco Antonio de Rivacoba : 97319 D. Cayetano Luis Maeso : 98108 y 98291 D. Antonio de la Torre : 98340 D. Cayetano Luis Maeso: 98403 Com pañía de la Buena Fe: 111630 Doña María del Carmen Corral. — De 150 pesos de Enero de i8c8: 227200 D. Francisco Josef Paron: 239881 Don Francisco Antonio de Rivacoba: 309452, 319…</t>
  </si>
  <si>
    <t>Maestre, Francisco Ribera y</t>
  </si>
  <si>
    <t>Francisco Ribera y Maestre</t>
  </si>
  <si>
    <t>…Josef Sendia Calderón. Para el del Arzobispo en Salamanca. Rector D. R amon de Planella y Fivaller. Consiliario i.° D. Josef Jalotl y Jalón. Idem 2.0 D. Rafael Bermudez. Idem 3.0 D. Francisco Ribera y Maestre» Capellán D. Lorenzo Escolar.</t>
  </si>
  <si>
    <t>Maestro, Bernabé</t>
  </si>
  <si>
    <t>Bernabé Maestro</t>
  </si>
  <si>
    <t>…la, zeloso de llevar á debido efecto los Reales decretos de S. M. en beneficio de la educación de la juventud de am bos sexos, y animado de los loables sentimientos del presbítero D. Bernabé Maestro, erigió escuelas públicas para niñas y niños; y á fin de acreditar ei desvelo de los respectivos maestros y los adelantamientos de sus discípulos, celebró exámenes el día 19 de Enero próximo pasado, franqueando ai inten to su sala el señor cura párroco. A pre…</t>
  </si>
  <si>
    <t>…iden en hacer concurrir á sus hijos á la enseñanza. Des pués de haber merecido de todos singulares aplausos los maestros, y haberles dado repetidas gracias por su esmero, el mismo D. Bernabé Maestro hizo á cada uno una demostración de aprecio y gratitud. Madrid 28 de Febrero. El d ia 27 de Enero ultimo tuvieron ia honra de besar la mano á S. M., á nombre de la ciudad de Cartagena de Levante, los Excmos. Sres. D. Julián de Retamosa y D. Nicolás de Estrada…</t>
  </si>
  <si>
    <t>Magaña, Francisco</t>
  </si>
  <si>
    <t>Francisco Magaña</t>
  </si>
  <si>
    <t>…7.=; Manuel Bezanilla. = Sr. teniente coronel D. Antonio Larragoiti.” Ademas de los sugetos referidos que se han distinguido en ésta acción, re comienda el comandante Larragoiti á D. Francisco Magaña, que por olvido no se hallaba nombrado. Madrid 29 de Diciembre. ARTICULO DE OFICIO. El Excmo. Sr. primer Secretario de Estado y del Despacho ha recibido el siguiente oficio del cónsul de S. M. en Nueva-Orleans, y la gaceta extra ordinaria de México que le aco…</t>
  </si>
  <si>
    <t>Magdalena, Bruno</t>
  </si>
  <si>
    <t>Bruno Magdalena</t>
  </si>
  <si>
    <t>…á V. de Real orden para su inteligencia y cumplimiento en la parte que le toca. Dios guarde á V. muchos años. Madrid 2 de Ene ro de 1817. En atención á los méritos y servicios de D. Bruno Magdalena, mayor domo de semana del Rey nuestro Señor,se ha servido S.M. nombrarle con tador de la Real orden americana de Isabel la Católica. Se cita á los acreedores y demas interesados á los bienes y testamentaría de Do-</t>
  </si>
  <si>
    <t>Mahy, Nicolás</t>
  </si>
  <si>
    <t>Nicolás Mahy</t>
  </si>
  <si>
    <t>…términos prescritos en aquella circular, dirigiendo sus expo siciones al capitán general D. Joaquín Blake, presidente de la junta de nue vas condecoraciones militares. El teniente general D. Nicolás Mahy, como comandante general que fue del egército de la izquierda , ha recurrido á S. M. solicitando una cruz de dis tinción para las valientes tropas que asistieron á la toma de Villafranca del Vierzo y acciones de Lugo, verificadas la primera en 19 de Marzo de…</t>
  </si>
  <si>
    <t>…al y Espejo la gracia de títu lo de Castilla con la denominación de vizconde de Bexijar, en consideración á sus particulares servicios, para sí, sus hijos y sucesores. El teniente general D. Nicolás Mahy, como general en gefe^que fue del sexto egército de operaciones, ha recurrido á S. M. solicitando una cruz de distinción para las tropas de la división del mando del mariscal de campo Don Francisco Taboada y Gil por el mérito que contrajeron el dia io de Agos…</t>
  </si>
  <si>
    <t>…s guarde á V. muchos años. Madrid 22 de Marzo de 1817. Circular del Ministerio de Guerra. El Rey nuestro Señor se ha enterado por la exposición que le ha hecho el Teniente General D. Nicolás Mahy del distinguido mérito que contrajeron las bizarras tropas del egercito de Galicia de su interino mando en la recon quista de Villafranca del Vierzo el 19 de Marzo de 1809, en que quedó prisionera á discreción la guarnición enemiga , como asimismo en las sang…</t>
  </si>
  <si>
    <t>Maitlan</t>
  </si>
  <si>
    <t>…sta que las familias de griegos que quieran salir del país con sus bienes lo verifiquen, particularmente aquellas que se hayan compro metido con el Gobierno otomano. Al parecer el general Maitlan , de regreso de Londres, ha podido conci liar los ánimos de los naturales de dichas^islas, en términos de tener ya muy adelantada su organización civil con la mayor tranquilidad. PRUSIA. Berlín 20 de Mayo. Según los últimos datos estadísticos la monarquía pru…</t>
  </si>
  <si>
    <t>Maitland</t>
  </si>
  <si>
    <t>362</t>
  </si>
  <si>
    <t>…as autoridades y la administración ingle sa de las islas Jónicas, donde á pesar de los esfuerzos de algunos perturba dores reinan el orden y la tranquilidad. Escriben de Corfú que lord Maitland, comisario general de S» M. Britá nica, ha nombrado una comisión especial compuesta de cinco individuos parA</t>
  </si>
  <si>
    <t>Malats, Segismundo</t>
  </si>
  <si>
    <t>Segismundo Malats</t>
  </si>
  <si>
    <t>…ño la venta del bálsamo maravilloso por D. Juan Antonio Giménez Iz quierdo, del que se hicieron algunas experiencias en la Real escuela Veteri naria; y habiendo llegado á entender D. Segismundo Malats que se dice ser el mismo que compone y usa el citado Malats; ha tenido por conveniente es te advertir al público que el referido bálsamo venal no es el que él compone y usa, sino muy distinto, y los efectos que causa este son diversos de los de aquel. ^</t>
  </si>
  <si>
    <t>Malcolm</t>
  </si>
  <si>
    <t>…todavía mas severas las disposiciones. Cuando se presentó en la rada de Jamestown el Nt,czv-Castle, una de las baterías del fuerte dis paró contra él un cañonazo de 24, porque el almirante Malcolm se olvidó de despachar alguno á tierra para anunciar su llegada. Está prohibido á to dos los barcos el salir por la noche después de la señal que se hace con un cañonazo, y ni aun pueden moverse del sitio en que se hallan: varios oficia les están encargados d…</t>
  </si>
  <si>
    <t>Maldonado, Vicente Víctor</t>
  </si>
  <si>
    <t>Vicente Víctor Maldonado</t>
  </si>
  <si>
    <t>…administradores de las provincias solo podrán despachar billetes hasta el dia 20 de dicho mes de Enero , en que de ben remitir á esta Dirección el último estado desús existencias. D. Vicente Víctor Maldonado, profesor de cirugía bien acreditado por sus conocimientos en las enfermedades de la vista, y en especial por su des treza en la operación de las cataratas, de que acaba de dar no pocas pruebas en esta corte, avisa al público que muy en breve se restituirá á…</t>
  </si>
  <si>
    <t>Malmstroem</t>
  </si>
  <si>
    <t>…nación de S. M. la Emperatriz como Reina de Hungría se veriñeará en la primavera próxima. ALEMANIA. Uamburgo 1$ de Junio. Escriben de Elseneur ,con fecha de 10 de este mes, qué el capitán Malmstroem, comandante del buque Pornona, encontró el 3 cerca de Beochi-Head una fragata tunecina, que salía del canal, y habia robado á una goleta de la Pomerania. El capitán de la Pomona envió una lancha para informarse acer ca de los buques alemanes, y la tripulación…</t>
  </si>
  <si>
    <t>Malo, Bernardo Diaz</t>
  </si>
  <si>
    <t>Bernardo Diaz Malo</t>
  </si>
  <si>
    <t>…todos los niños por el orden que se les tenia señalado, y bajo la dirección de sus respectivos maes tros D. Josef Patricio Buendía, D. Antonio Estrada Nora, D. Manuel Tri gueros y D. Bernardo Diaz Malo, en leer en prosa y en verso, en la calo grafía, en la aritmética especulativa y práctica, en la gramática y orto grafía castellana y en la historia sagrada; lo cual desempeñaron todos con el mayor despejo, mereciendo un general aplauso, y llenando los deseos…</t>
  </si>
  <si>
    <t>Malo, María Teresa López</t>
  </si>
  <si>
    <t>María Teresa López Malo</t>
  </si>
  <si>
    <t>…recho que le asista en el expediente que si"ue con D Josef María de Ormaegui, también capellán del mismo monasterio, sobre obtención de la capellanía que en la iglesia de él fundó Doña María Teresa López Malo; con apercibimiento de que pasado dicho término sin haberlo verifica do, le parar.í e! perjuicio que haya lugar. Con motivo del fuego experimentado en 31 de Agosto último en la casa nú mero 9 de la calle de la Montera de esta corte, en que tuvo su comercio D.…</t>
  </si>
  <si>
    <t>Malo, Román</t>
  </si>
  <si>
    <t>Román Malo</t>
  </si>
  <si>
    <t>nidades de religiosas 7 señores eclesiásticos. los que quieran pretender esta plaza presentarán sus memoriales á los señores de ayuntamiento de dicha villa Por niano de su secretario D. Román Malo; en inteligencia que se admitían dichos memo riales hasta fin del corriente, y se proveerá la plaza el 10 de Setiembre próximo. En el valle de Zuya, de la noble provincia de Alava, inmediato a la ciudad de Vitoria, se halla vacante el partido de cirujano, cuy…</t>
  </si>
  <si>
    <t>Malpeli, Angel</t>
  </si>
  <si>
    <t>Angel Malpeli</t>
  </si>
  <si>
    <t>…r de la plaza de Granada. También se sirvió S. M. conceder honores de comisario ordenador al tesorero del egército de Ceuta D. Josef del Gayo, y el empleo de comisario de guerra á D. Angel Malpeli, contralor jubilado del hospital militar de la ciudad de Palma. En América. Los empleos de teniente de Rey de la plaza de Caracas, de cabo subalterno de las provincias de Venezuela y de comandante del ba tallón veterano de la capital al Brigadier D. Josef Váz…</t>
  </si>
  <si>
    <t>Malpica, Josef María</t>
  </si>
  <si>
    <t>Josef María Malpica</t>
  </si>
  <si>
    <t>…imonio, á nombre de la Real ciudad de S. Fernando, el administrador de correos de Soria D. Juan Gutiérrez; el sargento mayor retirado de Voluntarios distinguidos de aquella ciudad D. Josef María Malpica, y el teniente coronel retirado D. Salvador Canle; de los cuales el pri mero dijo entre otras cosas lo siguiente: „Señor: Si las Asturias en el siglo vm tuvieron por su localidad y el valor de sus naturales la gloria de no haber sido holladas de los sarraceno…</t>
  </si>
  <si>
    <t>Malpica, Julián Gata y</t>
  </si>
  <si>
    <t>Julián Gata y Malpica</t>
  </si>
  <si>
    <t>…an y Romero, D. Cayetano Urbina y Daoiz, D. Josef Fuentes y Elias , D. Francisco Zacagnini y Monzon, D. Pablo Tous y Fíol, D. Miguel Jorganes y Mario, D. Antonio Venene y Andrade, D. Julián Gata y Malpica, D. Mariano Canals y May oís, D. Juan Molins y Cabañiés, D. Juan de Dios Valera y Viaña, D. Josef Zizur y Azanza, D. Tomas Mones y Puertas, D. Miguel Zizur y Azanza, D. Joaquín Basols y Marañosa, D. Josef Amat y Desvaíls, D. Pablo Navas y Loigorri, D. Josef N…</t>
  </si>
  <si>
    <t>Mañan, Luis</t>
  </si>
  <si>
    <t>Luis Mañan</t>
  </si>
  <si>
    <t>…ue visto por ellos se echaron fuera precipitándose por las barrancas; pero fueron perseguidos, matándoles 12, y haciéndoles 8 prisioneros,consiguiendo liber tar al cura de Cuanana D. Luis Mañan , á quien tenían prisionero, y reco ger varias alhajas y ornamentos de iglesia que tenían en su poder. „ A mi regreso á este punto, como á las tres de la mañana, me encontré con el cabecilla Sánchez con su principal partida en las alturas que dominan el vado…</t>
  </si>
  <si>
    <t>Mancha, Rafael</t>
  </si>
  <si>
    <t>Rafael Mancha</t>
  </si>
  <si>
    <t>y la ilustrada beneficencia de S. M. en promoverlas. A la lección de este dis curso siguió la de las actas de la sociedad en el año anterior, obra de Don Rafael Mancha, secretario primero de ella , quien al recordar la orden favo rable del Rf.y nuestro Señor de 20 de Junio del mismo año, por la que se dignó confirmar de nuevo nuestra sociedad, tributó en nombre de todo el cuerpo el debido homenage de gratitud y respeto á S.…</t>
  </si>
  <si>
    <t>Manchón, Cayetano Miguel</t>
  </si>
  <si>
    <t>Cayetano Miguel Manchón</t>
  </si>
  <si>
    <t>…Madrid 10 de Febrero de 1817. El Rey nuestro Señor se ha servido nombrar para la canongía vacante en la catedral de Segorve por muerte de D. Francisco Xavier Blanco al presbítero D. Cayetano Miguel Manchón , en premio de sus servicios du rante la invasión de la península; de su ardiente caridad con los pobres en fermos del contagio que sufrió Alicante en 1804, y de la lealtad y patriotis mo que acreditó en la lucha que sostuvo la muy heroica villa de Madrid con…</t>
  </si>
  <si>
    <t>Manent, Jaime</t>
  </si>
  <si>
    <t>Jaime Manent</t>
  </si>
  <si>
    <t>…premiado con 100 rs. vn. D. Pedro Terrero, discípulo de la Real academia de Nobles Artes de S. Carlos. En el mismo acto de la dis tribución cedieron la parte pecuniaria dd premio D. Jaime Manent y Don "Vicente Morera, y de las niñas Doñi María Vicenta Lorente y González, Doña Magdalena Beltran , Doña Jocefa Andrés y Serra, Doña Josefa Bur gués, Doña María Dominga Aparici, Doña Carmen Sala y Corones, Doña Magdalena Prat, Doña Vicenta Vidal, Doña Vicenta Car…</t>
  </si>
  <si>
    <t>Mañero, Pedro</t>
  </si>
  <si>
    <t>Pedro Mañero</t>
  </si>
  <si>
    <t>…Tertuliano, presbítero de Cartago , con tra los gentiles en defensa de los cristianos, con el libro de la paciencia y exhorta ción de los Mártires: traducidos por el limo. Sr. Fr. D. Pedro Mañero, obispo de Tarazona. El objeto de esta obra, la belleza y elegancia del estilo, y la pureza del lenguage la hacen interesante á toda clase de personas: un tomo en 4.0 á 20 rs. en pasta y 16 en rústica. —El Joven salvage en la sociedad: dos tomos en 8.° con un…</t>
  </si>
  <si>
    <t>Manes, Luis</t>
  </si>
  <si>
    <t>Luis Manes</t>
  </si>
  <si>
    <t>…r juez por la escribanía de número de D. Antonio López de Salazar, que se ad mitirán siempre que cubran las dos terceras partes de su tasación á metálico. A virtud de despacho del Sr. D. Luis Manes,del Consejo de S.M., alcalde del crimen de la Real audiencia de Valencia, juez interventor nombrado por S. M. de los estados, bienes y rentas del Sr. conde del Castalia, se cita, llama y emplaza á los acreedores que no se han presentado del citado Sr. conde p…</t>
  </si>
  <si>
    <t>Mañes, Luis</t>
  </si>
  <si>
    <t>Luis Mañes</t>
  </si>
  <si>
    <t>…y escribanía del número de D. Cristóbal de Vicuña. D. Joaquín .c\lmazan, teniente corregidor de esta vilIa de Madrid, en virtud de despacho requisitorio que me l1a cometido el S. D. Luis Mañes, del Consejo de S. 1\1., alcalde del crÍmen de la Real audiencia de Valencia. juez interventor regio de los estados, bienes y rentas del Sr. conde de Castallá, de la Villanueva y oe Carlet, vecino de la expresada ciudad, cito, llamo y emplazo á cualesquiera p…</t>
  </si>
  <si>
    <t>Manescau, Tosef María</t>
  </si>
  <si>
    <t>Tosef María Manescau</t>
  </si>
  <si>
    <t>…tuvieron el honor de cumplimentarle, fue una de la Rea! audiencia de Granada compues ta de su presidente el Exorno. Sr conde de Montijo y de los oidores D. Jo sef López de Gozar y D. Tosef María Manescau , y del alcalde del crimen D. Ma nuel Josef de Vilches; de los cuales el primero en un breve y enérgi co discurso en portugués tuvo la honra de felicitar á S. M. y A. por su feliz arribo á la península, y sus faustos enlaces con el Re* nuestro Señor y su au g…</t>
  </si>
  <si>
    <t>Manrique, Anselmo de Isla</t>
  </si>
  <si>
    <t>Anselmo de Isla Manrique</t>
  </si>
  <si>
    <t>…uelo de Velasco y D. Josef Sacasa. Capellán D. Francisco Carpintero y Eraso. Para el de S. Bartolomé en Salamanca. Rector D. Ramón de Aguilar Fernandez de Córdoba. Consiliario T.° Don Anselmo de Isla Manrique. Idem 2° D. Ambrosio de Velasco y Oraoño Rosales. Idem 3.0 D. Francisco Zapata Bueno. Capellán D. Josef Sendia Calderón. Para el del Arzobispo en Salamanca. Rector D. R amon de Planella y Fivaller. Consiliario i.° D. Josef Jalotl y Jalón. Idem 2.0 D. Rafael B…</t>
  </si>
  <si>
    <t>Manrique, Tomas María</t>
  </si>
  <si>
    <t>Tomas María Manrique</t>
  </si>
  <si>
    <t>…o que haya lugar. En virtud de providencia del Sr. D. Joaquin Almazan, del Consejo de S. M., teniente de corregidor de esta muy heroica villa, refrendada del escribano del nú mero D. Tomas María Manrique, se cita, llama y emplaza por término de 30 días, contados desde esta publicación, á D. Manuel Saenz del Prado, D. Lorenzo Fer nandez de León, D. Juan Lorenzo Sánchez Cueto, D. Luis Franco, Doña Librada Perez Escovar, D. Joaquin Antonio Román, los Sres. Alzue…</t>
  </si>
  <si>
    <t>Manso, Josef</t>
  </si>
  <si>
    <t>Josef Manso</t>
  </si>
  <si>
    <t>…ondiese la circular expedida por el Ministerio de Marina sobre acotamientos de Montes comunes y de domi nio particular; y su tenor dice asi: ,,Con motivo de haber ocurrido á S. M. D. Josef Manso, vecino del lu gar de Escovedo de Carriedo, en las Montañas de Santander, solicitando su Real permito para mantener cerrado un terreno de arbolado de su propie dad, cuya solicitud se pasó por este Ministerio á informe a! Juez Conserva dor de los montes de la…</t>
  </si>
  <si>
    <t>Manso, Manuel</t>
  </si>
  <si>
    <t>Manuel Manso</t>
  </si>
  <si>
    <t>…de Ateaga, á quien mi se gundo empleó en su vanguardia por la confianza que le merece y le ha acre ditado en todas las acciones de guerra, como igualmente al ayudante de este gefe D. Manuel Manso, teniente de realistas de Tampico; al subteniente de Extremadura D. Josef Quiñones, por haber dirigido la fortificación de mi lí nea bajo el continuo fuego de los enemigos, y ai cadete de cazadores de Ex tremadura D. Miguel Aguayo, que en este lance acreditó-…</t>
  </si>
  <si>
    <t>…no, D. Alejandro María Arango, D. Gregorio Carrizo de Llano, de Extremadura, y Doit Tuan Ateaga, de realistas de Perote; de capitanes al teniente D. Juan Basave, de Extremadura, y D. Manuel Manso, de realistas de Tampieo; de te nientes á los subtenientes D. Miguel Vitini y D. Josef Quiñones, de Extre madura, y D. Nicolás Castillo, de Ordenes Militares; alférez vivo ai cadete de Extremadura D. Miguel Aguayo, y al asistente del capitán Carrizo y artille…</t>
  </si>
  <si>
    <t>Mansselman</t>
  </si>
  <si>
    <t>…emana próxima. Los ministros de Austria, Rusia y Dinamarca , que se hallaban en Bruselas, entraron anteayer en esta ciudad. Amsterdam i.° de Setiembre. El buque nombrado Zeeploeg, capitán Mansselman , que había dado la vela del Texel á fines de Julio con unos 500 emigrados alemanes para los Estados-Unidos, se ha visto obligado á entrar nuevamente en el puerto por los vientos contrarios, y en este intermedio han muerto 60 pasageros. En el mismo puerto se…</t>
  </si>
  <si>
    <t>Manteles, Juan de</t>
  </si>
  <si>
    <t>Juan de Manteles</t>
  </si>
  <si>
    <t>…misma D. Luis López de Castro, se cita, llama y emplaza por el término de 30 dias á todos los acreedores y censualistas que tengan derecho á los bienes concursados por el diíunto D. Juan de Manteles, veci no de esta villa, para que dentro de dicho término concu trun por sí ó por medio de procurador con poder bastante á deducir su acción en dicho concurso; con aper cibimiento que de no hacerlo asi les parará el perjuicio que haya lugar. El Godofredo, ó la…</t>
  </si>
  <si>
    <t>Manuel</t>
  </si>
  <si>
    <t>…el de la misma clase y cuerpo D. Ce sar Sandoval, situado en el baluarte de S. Josef, como igualmente lo verifi caron los bizarros teniente y subteniente de húsares del territorio D. Manuel y D. Ignacio Madrid, que cubrían las avenidas del tanque y garitón; no por tándose menos bien el valiente sargento segundo de Zamora Bernardo Moro en la defensa que hizo sobre el parque. „ Habiendo dado á V. S. una noticia circunstanciada del destino, valor y entusiasmo con que…</t>
  </si>
  <si>
    <t>…eneral.__ De 6co pesos de Setiembre de 1808 : 233 y 276 D. Antonio Martínez (de Cuenca) : 3771,6116,8340 y 1 2246 Señor tesorero general.__De 300 pesos de Setiembre de 1808: 34495 D. Manuel dejas Fuentes: 34864 D. Pedro Josef Ramírez (de Santander): 44067 Do mingo Párramo___De 150 pesos de Setiembre de 1808: 176734 y 200685 Sr. tesorero general: 202814 D. Manuel Angel Indo: 202863 Domingo Pár ramo: 202951 D. Joaquín Casale: 203417 Domingo Párram…</t>
  </si>
  <si>
    <t>…gasto y derechos judiciales. Quien quisiere hacer puja ó mejora acuda ante el señor alcalde de casa y corte Don Martin deGaztañaga, por la escribanía' de provincia y comisiones de D. Manuel iopez de Rivas, dentro del precitado término de los 15 dias, contados desde 28 del pasado; en la inteligencia de que para su último remate se ha señalado el dia 23 del corriente á las 12 en punto de la mañana en la audiencia de dicho señor alcalde y citada es…</t>
  </si>
  <si>
    <t>46$ concedido á todos los de esta división nn escudo de honor con el mote de buen militar. Con fecha de 3 del presente avisa el coronel D. Manuel de la Concha que los cabecillas Osorno, lucían y Franco, que intentaron invadir de nue vo dicho territorio , se fugaron en completa dispersión por la constante per secución que con una división volante les ha hecho el capitán D. Anastasio Bustamante. Todas es…</t>
  </si>
  <si>
    <t>…uyo nombre no quiere se dé al pú blico, en varios recibos de dinero que dio para la defensa de aquella plaza 9260 rs. D. Juan Nepomuceno Fuero, canónigo de Cuenca , y sus hermanos D. Manuel y D. Jacinto 30 acciones del banco nacional de S. Carlos. Don Josef de Trani, cura párroco de Uadros., en el obispado de Urgel, 4173 rs. en créditos contra la Real hacienda. El ayuntamiento de Arcos de la Fron tera por medio de su comisionado D. Antonio García de Veas 523…</t>
  </si>
  <si>
    <t>…RTICULO DE OFICIO. El comandante genera! de marina de la Havana ha remitido al Excmo. Sr. secretario del Despacho de Marina el parte siguiente, que le pasó el tenien te de fragata D. Manuel de los Ríos. ,, Excmo. Sr.: Tengo la satisfacción de participar á V. E. como á las ocho de la mañana de ayer, hallándome sobre punta de Ilicacos fuera de la vista de ella, y unido á la goleta Ramona, avisté á la goleta de velacho insurgente nombrada la Galves…</t>
  </si>
  <si>
    <t>…o en Borbon de Archambault el 7 de Mayo, la mayor parte de los cuales estaban armados de palos, picas y fusiles. ESPAÑA. México g de Febrero. LLANOS DE APAN. Partes del comandante general D. Manuel de la Concha. 1.® Excmo. Sr.: Por dos sugetos presentados al indulto en el pueblo de Huamantla, que merecen ser creídos por la buena disposición que manifes taron en aquel acto, supo de positivo mi segundo de aquella sección D. Juan Rafols , sargento mayor de…</t>
  </si>
  <si>
    <t>…siones de la misma, se cita, llama y emplaza por el preciso término de 20 dias, contados desde -su publicación, á todos los acreedores á los bienes quedados por la fin y muerte de Doña Manuel* Vitrian, vecina que fue de esta villa, y viuda de D. Valentín Ramón de Ariñiz, que se hallan inventariados y tasados á pedimento de sus herederos, para que en di cho término acudan á la audiencia del referido señor y repetida escribanía por me dio de procura…</t>
  </si>
  <si>
    <t>…elaciones llamado Chancery, en aquella parte del reino-unido de la Gran Bretaña é Ir landa nombrada Inglaterra, dado en la causa de Shinkwin contra De la Torre ; los acreedores de D. Manuel de la Torre, ames vecino de íinsbiíry Square, en el condado de Middlesex, comerciante, que falleció en el mes ce Agosto de 1816, ó hacia este tiempo, deberán comparecer por medio de sus procuradores, y comprobar sus créditos ante el Sr. D. Guillermo Alexander…</t>
  </si>
  <si>
    <t>…elaciones llamado Chancery, en aquella parte del reino unido de la Gran Bretaña é Ir landa nombrada Inglaterra , dado en la causa de Shinkwin contra De la Torre; los acreedores de D. Manuel de la Torre, antes vecino de Finsbury Square, en el condado de Middlesex, comerciante, que falleció en el mes de</t>
  </si>
  <si>
    <t>…la audiencia de dichjo señor y expresada escribanía. De conformidad de Doña Isabel de Ovando , viuda de D. Francisco María de Uiloa, como madre, tutora y curadora de su hijo menor D. Manuel, y los acreedo res á los bienes de aquel, se están subastando 713 mrs. al rniílar de la dehesa de Pa lacio viejo, de cabida 850 cabezas lanares, y toda su tierra de primera calidad, con una huerta, varios cercados, y casa de campo, con pajares, tinados y dema…</t>
  </si>
  <si>
    <t>…iatura; D. Miguel Herrera, dignidad de la ca tedral de la Havana; D. Manuel González de la Vega, vecino de la Hava5a ’i DV.A'!drC'S Im?z Altolaguirre, deán de la catedral de León; D. Manuel de la Madriz, vecino de Potes, maestrante de Ronda; D. Marcelino de la Torre, oficial mayor de la secretaría del Consejo de Estado; D. Juan Anto nio Mendez, director de la compañía del Guadalquivir; D. Manuel Zuaznabar, sumiller de cortina de S M. ; D. Manuel…</t>
  </si>
  <si>
    <t>…r, como por el presente se ci ta, llama y emplaza, á todas y cualesquiera personas que se contemplen con dere cho á los bienes quedados con motivo del fallecimiento abintestato de D. Manuel de la Fuente, brigadier que fue del Real cuerpo de Guardias de la Persona del Rey, acaecido en la ciudad de Vitoria el día 20 de Julio de este año, para que en el preciso término de 20 dias, que por segundo se les prefija, acudan á dicho juz gado privilegiado…</t>
  </si>
  <si>
    <t>…con derecho á heredar en su caso, y en propiedad sus bienes, el cual era natural de la parroquia de S. Juan de Pa tres, concejo de Parres, principado de Asturias, hijo legítimo de D. Manuel y de Do ña María Manuela Llerandi, difuntos, y falleció en esta corte en 25 de Se tiembre de este año, bajo la disposición que otorgó en la villa de Villanueva y Geltrú , corregimiento libre del partido de Tarragona, en 7 de Mayo de 1813 , en la que dejó por…</t>
  </si>
  <si>
    <t>…o. Sr.: Incluyo áV.E. para su superior conocimiento el ad junto parte original, que con los documentos que le acompañan me ha diri gido el comandante militar de Cadereita teniente coronel D. Manuel de la Llata Saenz. ,, Dios guarde á V. E. muchos años. Queretaro Marzo 12 de 1817.= Excmo. Sr.= Ignacio García Rebollo. s= Excmo. Sr. virey D. Juan Ruiz de Apodaca.” Parte del teniente coronel D. Manuel de la Llata Saenz. ,jDe ios destacamentos de realistas f…</t>
  </si>
  <si>
    <t>…la ciudad de Veracruz: el dia 27 de Febrero de 1792 , resultó por su testamento haber sido casado en la ciudad de Cá diz con Doña María de Mesa, dejando por herederos á sus hijos D. Manuel, Doña Antonia y Doña Rita Cañal; y respecto á que estos interesados no han solicitado el cobro de 261 pesos 5I rs., que en el año de 1796 vinieron en el navio de guerra Santiago la América, pertenecientes á esta testamentaría, por cuyo líquido entraron en tes…</t>
  </si>
  <si>
    <t>…nfantes, por el norte al subteniente D. Josef María García con 20, por el oriente al subteniente Don Vicente Canalizo con 8 , por el poniente al teniente D. Manuel de Ja Llata con D. Manuel y D. Miguel Vázquez, 10 de los realistas de estos y 5 dragones del Príncipe, y por el nordeste al portaguión del Príncipe D. Manuel Perez de León con 6 dragones de su cuerpo. Estas partidas, que obraron con decidido valor, evitaron el incendio y robo, consiguiendo apagar muchas…</t>
  </si>
  <si>
    <t>…y al gunos meses sin sueldo, me acompaña á todas las expediciones. „ Faltaría á mi deber si dejase de participar á vmd. el mérito contraído por la partida de indultados á cargo de D. Manuel y D. Miguel Vázquez, y D. Josef de Jesús Calderón , habiendo dado el primero muerte con una piedra á un rebelde: el de los realistas y vecinos de este pueblo con su res petable cura el R. P. Fr. Nicolás Ramírez de Arellano, por su decisión á la justa causa y deseos de ser útil,…</t>
  </si>
  <si>
    <t>Mar</t>
  </si>
  <si>
    <t>…le hizo en el congreso de Viena. En virtud de providencia del Sr. D. Manuel Josef de Arbizu, del Consejo de S. M. , su alcalde de casa y corte, que en ausencia de su compañero el Sr. D. Mar tin de Gaztanaga despacha su audiencia, refrendada de D. Manuel López de Rivas, escribano de provincia y comisiones, y del juzgado de comandancia de los Reales cuerpos de Artillería é Ingenieros de esta plaza, se ha mandado sacar á pública sub asta por términ…</t>
  </si>
  <si>
    <t>…iliosas de aquella provincia. En virtud ds providencia del Sr. D. Manuel Josef de Arbizu , del Consejo de S. M., su alcalde de casa y corte, que'en ausencia de su compañero el S-. D. Mar tin de Gaztañaga despacha su audiencia, refrendada del escribano de provincia y comisiones D. Manuel López de Rivas, y á instancia del administrador secues trario del mayorazgo de Orozco y marquesado de Mortara, se ha mandado sacar á pública subasta el arrend…</t>
  </si>
  <si>
    <t>Mar, Blas</t>
  </si>
  <si>
    <t>Blas Mar</t>
  </si>
  <si>
    <t>…ada, Pedro de la Peña, Santiago Vallalado , D. Juan Miguel Alcalá, D. Francisco García de la Penilla, Juan Fer nandez, Baltasar Puebla , D. Dionisio Perez Guerra, Sebastian Bazan, D. Blas Mar tinez y D. Antonio Albo; apercibidos que si no lo hiciesen por sí ó sus legítimos representantes, ó sus herederos en el caso de haber fallecido alguno de elios, les parará el perjuicio que haya lugar, y se procederá sobre dichos puntos á lo que ha ya lugar si…</t>
  </si>
  <si>
    <t>Mar, Ignacio Antonio</t>
  </si>
  <si>
    <t>Ignacio Antonio Mar</t>
  </si>
  <si>
    <t>Lo que de su orden, y como escribano dé gobierno de la misma, nom brad o á consecuencia del fallecimiento de mi padre D. Ignacio Antonio Mar tínez , participo á V. para su inteligencia y cumplimiento; y del recibo da rá V. aviso para noticia de la sala. Madrid 7 de Julio de 1817. En el reino de Navarra se ha reunido en sociedad un cierto número de comerciantes con el objeto de promover la industri…</t>
  </si>
  <si>
    <t>Marañosa, Joaquín Basols y</t>
  </si>
  <si>
    <t>Joaquín Basols y Marañosa</t>
  </si>
  <si>
    <t>…ata y Malpica, D. Mariano Canals y May oís, D. Juan Molins y Cabañiés, D. Juan de Dios Valera y Viaña, D. Josef Zizur y Azanza, D. Tomas Mones y Puertas, D. Miguel Zizur y Azanza, D. Joaquín Basols y Marañosa, D. Josef Amat y Desvaíls, D. Pablo Navas y Loigorri, D. Josef Navarro y Alarcon , D. Agustín Blake y Tovar, D. Josef Romero Dorado, D. Manuel Vega y Romero, D. Al varo de Navia y Osorio, D. Juan de ia Lastra y Mata, D. Dionisio Sierra y Abello, D. Antonio Já…</t>
  </si>
  <si>
    <t>Marbarj, Manuel Josef Alonso</t>
  </si>
  <si>
    <t>Manuel Josef Alonso Marbarj</t>
  </si>
  <si>
    <t>…Estado y secretario del despacho universal de Gra cia y Justicia el segundo, para que los posean en propiedad, sus hijos, he rederos y sucesores. El comisario de guerra honorario D. Manuel Josef Alonso Marbarj, co misionado que fue en Lisboa para la autorización de suministros á nuestras tropas, ha recurrido al Rey nuestro Señor, manifestando que después de habérsele finiquitado las cuentas del tiempo que tuvo aquella comisión , y otras antes de ella, resultan á su…</t>
  </si>
  <si>
    <t>Marcelino</t>
  </si>
  <si>
    <t>…na; D. Manuel González de la Vega, vecino de la Hava5a ’i DV.A'!drC'S Im?z Altolaguirre, deán de la catedral de León; D. Manuel de la Madriz, vecino de Potes, maestrante de Ronda; D. Marcelino de la Torre, oficial mayor de la secretaría del Consejo de Estado; D. Juan Anto nio Mendez, director de la compañía del Guadalquivir; D. Manuel Zuaznabar, sumiller de cortina de S M. ; D. Manuel Zoilo, dignidad de la cate dral de Astorga, D. Fernando Medina,…</t>
  </si>
  <si>
    <t>Marcilla, Joaquín Garcés de</t>
  </si>
  <si>
    <t>Joaquín Garcés de Marcilla</t>
  </si>
  <si>
    <t>…anza, se sigue pleito entre el duque de Canzano, vecino de la corte de Ñapóles, y los marqueses de la Rambla, Viilafranca de Ebro, Campoverde, Alcocebar, Quintanar, Castromonte, y D. Joaquín Garcés de Marcilla, sobre la propiedad de los estados y grandeza de España aneja al condado de Priego, con sus unidos y agregados, que en el juicio de tenuta se adjudicaron á dicho duque de Canzano; y por auto de 26 de Agosto próximo pasado se ha mandado en sala de Justicia se…</t>
  </si>
  <si>
    <t>Marcos, Mateo de Agüero</t>
  </si>
  <si>
    <t>Mateo de Agüero Marcos</t>
  </si>
  <si>
    <t>…Mariano Ruiz de Navainuel, dignidad de la catedral de Chile; D. Francisco Pablo Vázquez , dignidad de la catedral de Puebla de los Angeles; D. Pe dro Perez Muñoz, vecino de Quito; D. Mateo de Agüero Marcos, secreta rio general interino de la orden, y al capitán de navio D. Alejandro Gu tiérrez de Ruvalcaba. Cruces de Caballeros A los Sres. D. Marcos Francisco Rivas, presbítero, domiciliado en Cara cas ; D. Nicolás Blanco; D. Miguel García Carrasquedo; D. Franci…</t>
  </si>
  <si>
    <t>Marcq, Felipe Saint</t>
  </si>
  <si>
    <t>Felipe Saint Marcq</t>
  </si>
  <si>
    <t>…dad cuyo contagio pudiese temerse, como se habia divulgado aqui hasta llegar á los oidos de S. M. y afligir su Real ánimo. En virtud de esta orden aquel capitán general el Exento. Sr. D. Felipe Saint Marcq, con fecha de 23 del mismo, comunicó originales á la expresada junta las certifi caciones dadas por los médicos y cirujanos titulares de aquella ciudad y de sus hospitales civiles y militares, y juntamente la existencia de enfermos en los mismos hospitales y…</t>
  </si>
  <si>
    <t>Mardones, Francisco Josef de</t>
  </si>
  <si>
    <t>Francisco Josef de Mardones</t>
  </si>
  <si>
    <t>…citada escribanía í deducir el derecho con que se crean asistidos á los enunciados vales; con ¡apercibimiento que no haciéndolo les parará el perjuicio que haya Jugar. El Sr. Dr. D. Francisco Josef de Mardones, presbítero, teniente vicario de es ta villa, por ante el notario de número D. Juan Francisco de Piélagos, en provi dencia de 30 del pasado ha mandado hacer saber al poseedor ignorado del censo perpetuo del vínculo que fundó Sebastian de Paz y Buvtrago, y pos…</t>
  </si>
  <si>
    <t>Marechai, Pedro</t>
  </si>
  <si>
    <t>Pedro Marechai</t>
  </si>
  <si>
    <t>…conservar y arreglar los relojes de muestra, sean dé faltriquera, de so bremesa, de caja ó de torre, para las personas que no tienen conocimiento alguno de ia relojería: su autor D. Pedro Marechai, artífice relojero en esta corte. Se ha llará á 2 rs. en la imprenta de Dávila , calle de Barrionuevo, y en Jas librerías de Sojo, calle de las Carretas, y de Novillo, calle de la Concepción Gerónima. Correcciones al trillo inventado por D. Juan Alvarez Guerr…</t>
  </si>
  <si>
    <t>Mari</t>
  </si>
  <si>
    <t>…sentamos, tiene el honor de ofrecer á los pies de V. M. sus mas respetuosos homenages con el motivo tan justo de felicitarle por su augusto enlace con la Sra. Infanta de Portugal. Doña Mari a Isabel, ya nuestra legítima Soberana. „Este pueblo, Señor, que siempre ha sido fiel á sus Reyes, manifestó con la mayor energía sus sentimientos cuando vio atacado el treno de V. M., é inmediatamente en defensa de tan justos derechos presentó en la capital…</t>
  </si>
  <si>
    <t>María</t>
  </si>
  <si>
    <t>…resa María de las Mercedes de Kassel, muger de D. Andrés Alvarez Calderón , hijo é hija.de D. Josef Santiago de Kassel, mariscal de campo de los egéfcitos de S. M. Ca tólica, y de Doña María de la Luz Espinosa deContreras, natural de la Havana, que habiendo fallecido en el reino de los Países-Bajos el barón Josef Benito de Kassel Blamont, son llamados á recoger su sucesión en parte; y que Mr. Josef de Suellinck , habitante de Brusélas, ha sido no…</t>
  </si>
  <si>
    <t>…no á Veracruz, como pensaba hacerlo en 1800; y en ca so de haber fallecido, si dejó ó no hijos. Las personas que pudiesen comunicar al guna de estas noticias se servirán hacerlo á Doña María de los Angeles Selonf, her mana del expresado D. Diego, avecindada en la ciudad de Murcia. Guia del estado eclesiástico para el año de 1817. Se hallará en el despacho de la imprenta Real. El amante de los labradores, ó tratado de las grandes ventajas que los…</t>
  </si>
  <si>
    <t>…s soberanos de cretos en favor de ia enseñanza pública, objeto de sus Reales desvelos; y se concluyó tan agradable acto con una deprecación , que, glosando el Ave María, pronunció Doña María de la Concepción de Urquinaona, una de las alumnas. Lleno de júbilo el procurador síndico, dió á la señora directora una onza de oro para que la asignase en nombre del ayuntamiento á la niña que mas se hubiese distinguido por su aprovechamiento y aplicación ,…</t>
  </si>
  <si>
    <t>…ron igualmente examinadas sobre los mismos ramos que las anteriores, y premiadas semejantemente. Las so bresalientes fueron Doña Bárbara Esquivel , Doña María Encarnación Are nas, Doña María de la Paz Pórtela, Doña María de los Santos Romero y Doña María del Amparo Tabla, á cada una de las cuales se Ies asigno tam bién su dote &amp;c. como las anteriores. De la escuela de Sta. Justa y Rufina se examinaron seis, y la mas adelantada entre ellas fue Doñ…</t>
  </si>
  <si>
    <t>…ones á una de las huérfanas de los militares 6 patriotas que hubieren muerto en defensa de la justa causa de la nación, ha cabido en suerte del primer extracto de la de este dia á Doña María de los Dolores Bota, hija de D. Antonio, oficial que fue de Reales provisiones &gt; muerto en el campo del honor.</t>
  </si>
  <si>
    <t>…remo Consejo de Castilla, dada en 39 de Abril en los autos que se siguen por la escribanía de cámara del careo de D. Jcsef de Ayala entre D. Agustín Ricote y sucesivamente su hija Doña María con el mar ques de Corvera , vecino de Granada, sobre redención y pago de réditos de unes censos impuestos en una casa sita en la calle de Embajadores, titulada del Cura, se cita y emplaza £D. Antonio Ricote para que en el término de 30 dias, contados</t>
  </si>
  <si>
    <t>…l comercio de ella, y en Madrid ai comisario honorario de guerra D. Manuel de Quevedo Bustamante, plazuela del Angel. Se cita á los acreedores é interesados en la testamentaría de Doña María de la Encarnación Nestares y Chapín, muger que fue de D. Francisco Herrera, para que concurran á la junta que ha de celebrarse el dia 28 de este mes á las ocho de su ma ñana en la posada del Sr. D. León de la Cámara Cano, del Consejo de S. M. en el supremo de…</t>
  </si>
  <si>
    <t>…n los premios, admitió en el acto la oferta de cinco mas que ofre cieron el Excmo. Sr. director, las Sras. de la junta de Damas unidas á la so ciedad marquesa de Canillejas y Sra. Doña María de la Soledad Moreno de Bodega, y los socios D. Josef Felipe Olive y D. Federico Moreti, no habiendo habido lugar á admitir dos mas que ofrecieron los socios D. Josef María Ce las y D. Mariano Vallejo, con lo cual se procedió solo al sorteo del primer premio,…</t>
  </si>
  <si>
    <t>…a citada el dia y hora señalada; con apercibimiento de que ei que asi no lo verificase le parará el perjuicio que haya lugar en derecho. Por el presente se cita, llama y emplaza á Doña María de las Mercedes Valdes, para que en ei preciso y único término de tercero dia comparezca en el juzgado del Sr. D. Manuel Fernandez Gamboa, del Consejo de S. M., alcalde de su Real casa y corte, y por la escribanía de provincia de D. Valdomero Moraleda, á prac…</t>
  </si>
  <si>
    <t>…nes á una de las huérfanas de los militares ó patriotas que hubieren muerto en defensa de la justa causa de la nación , ha cabido en suerte del primer extracto de la de este dia á Doña María de los.Dolores, hija del patriota D. Josef AntonioEscaiera, muerto en el campo del honor. ARTICULO DE OFICIO. El Rey nuestro Señor ha oido con agrado las expresivas demostraciones de la v.illa de.Daimiel que contiene la siguiente exposición. ,,Señor,: El.'pre…</t>
  </si>
  <si>
    <t>…z, y de su esposa Doña Manuela Perez de Abreu, natural de la ciudad de S. Felipe y Santiago del Bejucar,por sí y en nombre de sus hijos legítimos D. Josef, D. Lorenzo, D. Antonio, Doña María de la Concepción, Doña Gertrudis, Doña María de Jesús, D. Francisco,D. Juan, D. Manuel y Dou Ramón López Perez, naturales de la Havana; y habiendo fallecido el referido su padre D. Antonio López Gómez en el mismo año de 1802 , al tiempo de estar para recoger…</t>
  </si>
  <si>
    <t>María, Bernardo</t>
  </si>
  <si>
    <t>Bernardo María</t>
  </si>
  <si>
    <t>…bación, que le será devuelto; en la inteligencia que se ha de resolver su admi sión el i.° de Octubre. Diccionario manad de. hechos y dichos memorables de la historia antigua, por D. Bernardo María dé Calzada: tres tomos en 8.° prolongado á 36 rs. cada juego en papel. Se hallará eii el almacén de la imprenta Real. Advertencias á la historia del p. Juan de Mariana, por el marques de Monde jas un tomo en o.° marquilla. Véndese á 1 o rs. en p3pel en el alm…</t>
  </si>
  <si>
    <t>María, Cárlos</t>
  </si>
  <si>
    <t>Cárlos María</t>
  </si>
  <si>
    <t>…sís. ARTICULO DE OFICIO. El Rey nuestro Señor, en atención á los méritos y servicios de D. Arflbrosio Plazaola , contador general de las encomiendas de los Sennos. Sres. In fantes D. Cárlos María y D. Francisco de Paula, ha venido en concederle los honores del tribunal de Contaduría mayor. A voluntad de sus dueños, y en virtud de providencia del Sr. D. Joaquín de Almazan, del Consejo de S. M., teniente corregidor de esta villa, se ha mandado sacar á pública subasta por térmi…</t>
  </si>
  <si>
    <t>María, Carlos</t>
  </si>
  <si>
    <t>Carlos María</t>
  </si>
  <si>
    <t>…a cristiana, acom pañada del Excmo. Sr. D. Fernando Queypo y del R. P. Fr. Josef de Santa María de Nieva, fue conducida al Real Palacio , y presentada á los Sermos. Sres. Infantes D. Carlos María y Doña María Francisca de Asís, quienes la recibieron con las mayores demostraciones de su Real agrado, y tuvo la honra de besar sus Reales manos; y por último arengaron á sus AA. RR. los expresados Excmo. Sr. y R. Padre, manifestando el primero su gratitud por el singular honor con que su…</t>
  </si>
  <si>
    <t>María, Infante Den Carlos</t>
  </si>
  <si>
    <t>Infante Den Carlos María</t>
  </si>
  <si>
    <t>…. Josefde Mendizabal é Imaz.” Ronda 4 de Noviembre. El Real cuerpo de maestranza caballería de esta ciudad, en celebridad del plausible dia de su dignísimo Hermano mayor el Sermo. Sr. Infante Den Carlos María , y en observancia de su instituto,se formó á caballo en la tar de del dia 4 del corriente en las puertas de las casas donde celebra sus fun ciones, y se hallan destinadas por el Sr. D. Cristóbal de Aviles Casco y Castro, teniente de S. A. R., con su música m…</t>
  </si>
  <si>
    <t>María, Isabel</t>
  </si>
  <si>
    <t>Isabel María</t>
  </si>
  <si>
    <t>…Pedro Josef de Ascoa, canónigo que fue de la santa iglesia de Palencia, ha quedado vacante la capellanía colativa que en la parroquial de San Sebastian de esta corte fundó la Sra. Doña Isabel María de la Cruz Aedo, primera marquesa de Ugena, para la familia del señor marques D. Juan Francisco de Goyoneche, su marido; por tanto se llama y emplaza á las personas que tengan paren tesco con el Sr. D. Ignacio de Goyoneche , actual marques de Ugena, conde de…</t>
  </si>
  <si>
    <t>María, Josef</t>
  </si>
  <si>
    <t>Josef María</t>
  </si>
  <si>
    <t>429</t>
  </si>
  <si>
    <t>…9 vimiento la tropa, escogiendo la mas útil para la acción, y dejando el resto en el campo para el cuidado de las cargas y mulada. Al amanecer se verificó el ataque, destinando al teniente D. Josef María dei Toro con 50 de su cuer po por la derecha, al subteniente D. Juan Morilla con 56 de que se compo nía la partida de España por la izquierda, viniéndome yo por el centro con el canon, 40 del fijo y la caballería: en este estado se rompió el fuego, sos tenien…</t>
  </si>
  <si>
    <t>María, Juan</t>
  </si>
  <si>
    <t>Juan María</t>
  </si>
  <si>
    <t>…nra de felicitar con igual motivo al Sermo. Sr. Infante D. Cárlos. ARTICULO DE OFICIO. S. M. se ha servido nombrar para la vara de alcalde mayor segundo de la ciudad de Zaragoza á D. Juan María de la Torre: para la de Tarragona á D. Manuel de Rada: para la de la villa de Enguera á D. Juan Antonio Bolaño; y para la de Cheite á D. Francisco Xavier Fernandez Trapiella. Por Real resolución, á consulta de la Cámara, se ha servido S. M. con ceder á D. Alo…</t>
  </si>
  <si>
    <t>María, Ramón Azpeitia Saenz de Santa</t>
  </si>
  <si>
    <t>Ramón Azpeitia Saenz de Santa María</t>
  </si>
  <si>
    <t>…l Consejo de S. M., su oidor y gobernador de las salas del Crimen de esta Real chancillería, subdelegado de la Real junta de restablecimiento y gobierno de los colegios mayores, y D. Ramón Azpeitia Saenz de Santa María, del Consejo de S. M., auditor honorario de la Nun ciatura, canónigo y dignidad de arcediano de Sepúlveda en la santa iglesia de Segovíá , rector del de Santa Cruz de esta ciudad; se verificó su apertura, re cepción de becas y toma de posesión por los colegia…</t>
  </si>
  <si>
    <t>María, Teresa</t>
  </si>
  <si>
    <t>Teresa María</t>
  </si>
  <si>
    <t>…cretaría, plazuela de la Leña, nútn. 20, cuarto principad, todas las memorias de los que soliciten semejante recompensa y distinción. Se hace saber á D. Cárlos Josef de Kassel y á Doña Teresa María de las Mercedes de Kassel, muger de D. Andrés Alvarez Calderón , hijo é hija.de D. Josef Santiago de Kassel, mariscal de campo de los egéfcitos de S. M. Ca tólica, y de Doña María de la Luz Espinosa deContreras, natural de la Havana, que habiendo fallecido en…</t>
  </si>
  <si>
    <t>Marienrode, Malchus de</t>
  </si>
  <si>
    <t>Malchus de Marienrode</t>
  </si>
  <si>
    <t>…iena. De algún tiempo á esta parte es muy frecuente el paso de correos que se dirigen á Viena, y se ha notado también que muchos de ellos salen de Londres para aquella capital. El conde Malchus de Marienrode, ministro que fue de Hacienda en el an terior reino de Westfalia, ha pasado también estos dias por la Alemania me ridional con dirección á Viena. En la aldea de Soerkowítsch, cerca de Dresde, un ladrón, vestido como los diablos que suelen salir al teatro , en…</t>
  </si>
  <si>
    <t>Marín, Francisco</t>
  </si>
  <si>
    <t>Francisco Marín</t>
  </si>
  <si>
    <t>…en el reino de Valencia, por medio de la diputación compuesta del Emo. y Excrno. Sr. cardenal patriarca de las Indias , del Exce lentísimo Sr. duque de Hijir, de los limos. Sres. D. Francisco Marín, D. Josef María Puig, del consejo y cámara de S. M., y de D. Bernardo Peris , co ronel graduado de milicias provinciales, y regidor decano de la misma ; y el primero dijo á S. M. : „Señor: La villa de Alcira, que tuvo el honor de obsequiar á V. M. cuando regr…</t>
  </si>
  <si>
    <t>878</t>
  </si>
  <si>
    <t>…opias fa cultades que sus antecesores; y ahora con motivo del fallecimiento del dicho Sr. D. Nicolás ha tenido á bien S. M. por su Real cédula de de Julio próximo nombrar al limo. Sr. D. Francisco Marín, del Consejo y Cámara, para que le suceda en el citado encargo. Y lo participo á V. de orden del Consejo para su inteligencia y cum plimiento en lo que le corresponde y casos que ocurran, dando cuenta de elips al referido Señor, y que al mismo fin io circule…</t>
  </si>
  <si>
    <t>Marín, Julián Ruiz</t>
  </si>
  <si>
    <t>Julián Ruiz Marín</t>
  </si>
  <si>
    <t>…an : para el de letras de la ciudad de Avila á D. Esteban Rodríguez Gallego, alcalde mayor que era de Guadalajara-*. para el de Estepa á D. Lorenzo Cazaux : para el de Gibraltar á D. Julián Ruiz Marín, alcalde mayor que era de Ubrique: para el de Bedmar á D. Miguel de Luque y Medina: para el de Ponferrada á O. Nico lás Gómez Villaboa , alcalde mayor que era de Villafranca del Vterzo; y para el de Estepona á D. Carlos Tomas Banetti: para la vara de Alhendin…</t>
  </si>
  <si>
    <t>Marina, Josef Santa</t>
  </si>
  <si>
    <t>Josef Santa Marina</t>
  </si>
  <si>
    <t>…coronel Hevia y á los gefes, oficiales y tropa que asistieron á esta jornada; y en re compensa del denuedo y decisión del teniente coronel del regimiento de in fantería de México D. Josef Santa Marina le ha conferido S E. á nombre del Rey nuestro Señor el grado de coronel en su clase. (Se continuara ). Barcelona 20 de Julio. La Real academia de medicina práctica de esta capitaí, deseando promo ver el importante estudio de las epidemias, ofrecía anualmente…</t>
  </si>
  <si>
    <t>…elativo á la acción y toma de los fuertes que defendían los rebeldes en los puntos del Chiquihuite y puente de Atoyac; re comendando á V. E. , como lo hace aquel gefe, al teniente coronel D. Josef Santa Marina y demas oficiales y tropa que concurrieron á esta acción. „Dios guarde á V. E. muchos años. Puebla 7 de Marzo de 1817. = Ex celentísimo Sr. = Ciríaco de Llano. = Excmo. Sr. virey D. Juan Ruiz de Apodacá.” Parte del coronel D. Francisco Hevia. ,,E1 26 del ante…</t>
  </si>
  <si>
    <t>…” El Excmo. Sr. virey en prueba del aprecio con que ha visto las útiles fa tigas de este gefe y sus tropas, después de haber concedido el grado de coro nel en su clase al teniente coronel D. Josef Santa Marina, tanto por esta ac ción como por la de S. Antonio Huatusco, se ha servido conceder un grado por clase al mas antiguo de los oficiales de cada una que concurrieron á la acción, inclusos los cadetes y sargentos; mandando que al Sr. Hevia se re comiende particul…</t>
  </si>
  <si>
    <t>Marina, Justo Antonio Santa</t>
  </si>
  <si>
    <t>Justo Antonio Santa Marina</t>
  </si>
  <si>
    <t>…un ofi cial de la gendarmería. Madama subió en ella, y en pocos dias salió del reino. ESPAÑA. Sí a. Eugenia de Fao, provincia de Santiago , 8 de Noviembre. Intimamente persuadido D. Justo Antonio Santa Marina, rector y cura propio de la dicha de Fao, de que la ignorancia es la causa principal del atraso de nuestra agricultura y de la falta de industria entre las gentes del campo; y. deseando dar algunas pruebas de la utilidad y progresos del esta blecimiento de su…</t>
  </si>
  <si>
    <t>Marina, Ministro de</t>
  </si>
  <si>
    <t>Ministro de Marina</t>
  </si>
  <si>
    <t>…que representar contra los Comandantes de los apostade ros , Oficiales ú otros empleados en ios buques relativamente á las funcione? de su encargo, se dará conocimiento de eiio al Sr. Ministro de Marina por el de Hacienda de Indias , á fin de que examinado el asumo se dé cuerna á S. M. para. su.Real determinación , del propio modo que en las demás cosas-</t>
  </si>
  <si>
    <t>Marina, Santa</t>
  </si>
  <si>
    <t>Santa Marina</t>
  </si>
  <si>
    <t>…mos, por ios muchos parapetos, fosos , contrafosos y estacadas, hice flanquear de posición y habien do rodeado para poder verificarlo dos leguas, á tres compañías con el te niente coronel Santa Marina por unos montes desconocidos á los jnismos nalurales. „ Lo que comunico-á V. S. para su satisfacción y la del Excmo. Sr. virey. ,, Dios guarde á V. S. muchos años. Orizaba 28 de Febrero de 1817 á las 6 de la tarde. = Francisco de Paula Caminero. ~Sr. D.. Cirí…</t>
  </si>
  <si>
    <t>…nían en el Chiquihuite para defenderse de las tropas que viniesen de Veracruz. „Recomiendo á V. S. muy particularmente, para que se sirva hacerlo al Excmo. Sr. virey , al teniente coronel Santa Marina, como á todos Jos ofi ciales y tropa que se hallaron en esta brillante y penosa acción. „Dios guarde á V. S. muchos años. Córdoba Marzo 2 de 181 7.=Francisco Hevia. = Sr. brigadier D. Ciríaco de Llano.” El Excmo. Sr. virey en prueba del aprecio con que ha vis…</t>
  </si>
  <si>
    <t>Marina, Secretario del Despacho de</t>
  </si>
  <si>
    <t>Secretario del Despacho de Marina</t>
  </si>
  <si>
    <t>…el limo. Sr. decano de él, la Real orden que dice asi: ,,l!mo. Sr.: El Sr. Secretario de Estado y del Despacho de Hacienda, con fecha de 19 del corriente, me dice lo que sigue: Al Sr. Secretario del Despacho de Marina digo con esta fecha lo siguiente: ,,Excmo. Sr.: Con mo tivo del expediente suscitado entre el ministro de Real hacienda de Menorca</t>
  </si>
  <si>
    <t>…generales de Andalucía, Valencia y Granada para la distribución del sitio ó sitios que han de ocupar. Que se establezcan los guarda-costas según se ha prevenido antes de ahora al Señor Secretario del Despacho de Marina durante los ries gos de la peste. Que se establezcan los dos místicos en los límites de cada provincia, como dice el gobernador de Tarifa, para impedir atraquen á las costas los pequeños faluchos que de inteligencia con numerosas cuadrillas de contrabandistas…</t>
  </si>
  <si>
    <t>Mario, Miguel Jorganes y</t>
  </si>
  <si>
    <t>Miguel Jorganes y Mario</t>
  </si>
  <si>
    <t>…a y Santillana, D. Pedro Lujan y Romero, D. Francisco Lujan y Romero, D. Cayetano Urbina y Daoiz, D. Josef Fuentes y Elias , D. Francisco Zacagnini y Monzon, D. Pablo Tous y Fíol, D. Miguel Jorganes y Mario, D. Antonio Venene y Andrade, D. Julián Gata y Malpica, D. Mariano Canals y May oís, D. Juan Molins y Cabañiés, D. Juan de Dios Valera y Viaña, D. Josef Zizur y Azanza, D. Tomas Mones y Puertas, D. Miguel Zizur y Azanza, D. Joaquín Basols y Marañosa, D. Josef…</t>
  </si>
  <si>
    <t>Marmolejo, Vicente</t>
  </si>
  <si>
    <t>Vicente Marmolejo</t>
  </si>
  <si>
    <t>…os rebeldes en el rancho de Tenanguillo, distante de este punto tres leguas, sin saber en qué número. Inmediatamente hice salir 18 soldados de esta compañía al mando de su alférez D. Vicente Marmolejo, coa orden de que á su tránsito por Ixtoluca reuniese á esta fuerza 12 realistas de los de aquel punto, y que de allí siguiese tomando noticias hasta ver si lograba al canzarlos. „Hoy á las ocho de la mañana ha regresado el citado oficial dándome parte verbal…</t>
  </si>
  <si>
    <t>Maroto, Eugenio</t>
  </si>
  <si>
    <t>Eugenio Maroto</t>
  </si>
  <si>
    <t>…en sagrada teología, que presentó á examen sucesivamente á los discípulos colegial beca D. Sebastian Juárez, D. Jacinto de Bartolomé, natural de este sitio; á Don Pedro Izquierdo, D. Eugenio Maroto, D. Miguel Moral y D. Tomas de la Fuente, quienes respondieron con desembarazo á las preguntas que les hizo so bre el sistema de la numeración, naturaleza del número, reglas fundamen tales de la aritmética y álgebra, de todo género de números enteros, mixtos,…</t>
  </si>
  <si>
    <t>Marques, Josef</t>
  </si>
  <si>
    <t>Josef Marques</t>
  </si>
  <si>
    <t>…que sigue : ,, Excmo. Sr.: Para el debido conocimiento y satisfacción de V. E. le acompaño original el parte que con fecha 11 del corriente me dirige el capi tán de Nueva Vizcaya D. Josef Marques, comandante de la división de la Parada , en que avisa el ataque que dio á los rebeldes el dia anterior..</t>
  </si>
  <si>
    <t>…s Diciembre ir de 1816 á las 4 de la tarde. = Josef Marques. = Sr. brigadier D. Manuel María de Torres.” Asimismo ha dispuesto S. E. se den las gracias al Sr. Torres Valdivia y al capitán D. Josef Marques. Sevilla gi de Mayo. La Real compañía de navegación del Guadalquivir celebró ayer útil mente los dias de nuestro augusto Soberano, botando al agua el primer bar co de vapor que se há construido en España, igual en su forma y dimensio nes á los mejores que se…</t>
  </si>
  <si>
    <t>Márquez</t>
  </si>
  <si>
    <t>…rar mañana misa y Te Dcum en acción de gracias al Dios de los Egércitos, que tan visiblemente protege nuestra causa, la mas justa de cuantas pueden pro moverse. Voy á comunicar al coronel Márquez todas estas ocurrencias, y á pro ponerle el ataque de Misantla para hacerle partícipe con su tropa de nue vas glorias, porque destacando yo mañana 350 hombres sobre la laguna al cargo de mi segundo el Sr. Llórente, y cubiertos ya los puntos reconquista dos ,…</t>
  </si>
  <si>
    <t>Márquez, Josef Joaquín</t>
  </si>
  <si>
    <t>Josef Joaquín Márquez</t>
  </si>
  <si>
    <t>4^9 El dia 7 de Noviembre se apoderó el coronel D. Josef Joaquín Márquez del cerro y fuerte de Monteblanco, que después de dos dias de resistencia abierta se entregó á discreción con toda la artillería, armas y municiones de boca y guerra y 300 prisioneros, según su último parte. El 30 de Octubre atacó el capitán D. Carlos Moya á…</t>
  </si>
  <si>
    <t>Marquiegui</t>
  </si>
  <si>
    <t>…es expediciones que hice salir en persecución de los enemigos que sorprendieron á Humahuaca, la una al mando del brigadier Olañeta, que debía ir por S. Pedro; la otra al mando del coronel Marquiegui, que debía verificarlo por Sta. Barbara, y la tercera al mando del coro nel Centeno por Humahuaca , todas con dirección á Oran, que era el punto adonde se sabia dirigía el enemigo su presa, han llegado á mi cuartel general entre el 5 y 6 del presente mes: sus…</t>
  </si>
  <si>
    <t>Marriat</t>
  </si>
  <si>
    <t>…om pró en Liverpool, y cuyo valor ascendía á 288® rs. para que la distribuya entré tos pobres de las parroquias de su estado de Wicklau. Sir Home Popham, el coronel Mac-Donald, el capitán Marriat, de la marina Real, y Mr. Conolly van á publicar sus diferentes trabajos telegrá ficos. El último de estos autores sostiene que es posible comunicarse por me dio de señales proporcionadas desde S. Jorge ó la montaña de Windham, en la isla de la Bermuda , con…</t>
  </si>
  <si>
    <t>Marrón, Joset'</t>
  </si>
  <si>
    <t>Joset' Marrón</t>
  </si>
  <si>
    <t>…n se ha servido S. M. nombrar para subinspector de Andalucía al mariscal de campo D. Joaquín de Zea; para Aragón ai de igual clase D. Francisco Ferraz, y para Castilla la Vieja al brigadier D. Joset' Marrón.” Lo que de Real orden traslado á V. para su inteligencia y cumplimien to en la parte que le toca. Dios guarde á V. muchos años. Madrid 21 de Abril de 1817. Circulares del Consejo Real. 1 ,a El Excmo. Sr. Secretario de Estado y del Despacho universal de Graci…</t>
  </si>
  <si>
    <t>Marsonell, Ramón</t>
  </si>
  <si>
    <t>Ramón Marsonell</t>
  </si>
  <si>
    <t>…: en Castilla la Vieja D. Pablo Montesino para Ledesma: D. Juan Francisco Amatriain para Arnedillo: en Aragón D. Manuel Arranz , médico de la villa de Aranda de Duero,para Quinto: D. Ramón Marsonell, médico de Ateca, partido de Calatayud, para Alama: D. Antonio Turvica, médico de Iruecha , paraTiermas: D Bartolomé Sierra , médico titular de la ciudad de Mo lina, y honorario de los Reales egércitos, para Panticosa: en Astiirias Don Cayetano Blanco Casarie…</t>
  </si>
  <si>
    <t>Mart</t>
  </si>
  <si>
    <t>…y sorpresas. Madrid 14 de Marzo. El dia 9 de Febrero tuvieron la honra de felicitar á SS. MM. el Sr. Doti Antonio Alcalá Galiano, del Consejo de S. M. en el supremo de Hacienda, y D. Mart in de Luque, cura párroco de la villa de Caniles de Baza , en re presentación de sy ayuntamiento; de los quales el primero dijo entre otras cosas: „Señor: La villa de Caniles de Baza, reino de Granada, á quien repre sentamos, tiene el honor de ofrecer á los p…</t>
  </si>
  <si>
    <t>Martí, Francisco de Paula</t>
  </si>
  <si>
    <t>Francisco de Paula Martí</t>
  </si>
  <si>
    <t>…icieron las personas ins truidas en este arte. A continuación de esto, para que diesen pruebas de sus conocimientos en la parte práctica, el catedrático de esta enseñanza el socio D. Francisco de Paula Martí les leyó un trozo de un impreso que allí se pre-p sentó, y que los discípulos copiaron en signos taquigráficos en el mismo es pacio de tiempo que se empleó en su lectura, y habiéndose retirado en se guida á trasladarlo en caracteres comunes á presencia de tre…</t>
  </si>
  <si>
    <t>…al curso de taquigrafía castellana, ó sea al arte de escribir con tanta velocidad como se habla, y con la misma claridad que la escritura común, cuya ins trucción está á cargo del catedrático D. Francisco de Paula Martí, y puesta por Real orden al cuidado de la Real sociedad económica matritense. Este curso está dividido en dos partes, la primera , que comprende la teó rica , dura los tres meses de Setiembre, Octubre y Noviembre: la segunda, que contiene la práctica, princip…</t>
  </si>
  <si>
    <t>Martí, Josef</t>
  </si>
  <si>
    <t>Josef Martí</t>
  </si>
  <si>
    <t>…mpuesta de D. Josef Remon y Sentís, coronel de caballería, exento del Real cuerpo de guardias de la Persona del Rey , y caballero de la orden Real y militar de S. Hermenegildo; de D. Josef Martí, coronel de egércíto, y primer teniente de Reales guardias de infantería española, y de D. Anto nio Colomer, caballero de la Real y distinguida orden española de Cárlos 111; el primero de los cuales dijo r „ Señor: Vuestra ilustre y leal ciudad de Peñíscola (…</t>
  </si>
  <si>
    <t>Martin</t>
  </si>
  <si>
    <t>…tes íntegras del valor de la retasa en efectivo metálico, líbre de todo gasto y derechos judiciales. Quien quisiere hacer puja ó mejora acuda ante el señor alcalde de casa y corte Don Martin deGaztañaga, por la escribanía' de provincia y comisiones de D. Manuel iopez de Rivas, dentro del precitado término de los 15 dias, contados desde 28 del pasado; en la inteligencia de que para su último remate se ha señalado el dia 23 del corriente á las 12 e…</t>
  </si>
  <si>
    <t>Martin, Antonio S.</t>
  </si>
  <si>
    <t>Antonio S. Martin</t>
  </si>
  <si>
    <t>…o esta Real resolución, ha acordado la comuni que á V. como lo egecuto, para su inteligencia y gobierno. Madrid de Setiembre de 18^7. El Rey nuestro Señor se ha dignado conceder á D. Antonio S. Martin y hermanos el privilegio de colocar sobre las puertas de su fábrica de sombre ros establecida en la villa de Zafra, y la de los almacenes donde los ven dan, el escudo de armas Reales , con el título de Real, en conformidad del floreciente estado en que aquell…</t>
  </si>
  <si>
    <t>Martin, Juan</t>
  </si>
  <si>
    <t>Juan Martin</t>
  </si>
  <si>
    <t>…0 rs. en pasta en la librería de Castillo, y en la de Ranz y de Calleja. Nueva historia y tragedia de la orden militar de los caballeros Templarios, de dicada al mariscal de campo D. Juan Martin , el Empecinado, adornada con estam pas finas. Se vende en pasta y rústica en la librería de la viuda de Ramos, carrera de S. G erónimo; en IadeBrun, frente á las gradas de S. Felipe, y en el puesto de libros, á la entrada de la calle de la Montera. En los mi…</t>
  </si>
  <si>
    <t>…lando ante el juez competente las excepciones que pueda haber.” De Real orden lo traslado á V. para su gobierno y demas efectos opor tunos. Madrid 2 de Setiembre de 1817. Habiendo D. Juan Martin , el Empecinado, elevado á la Real atención del Rey nuestro Señor la exposición siguiente, se ha dignado S. M. mandar se inserte en la gaceta para cumplimiento y premio de los fines generosos y patrióticos con que ha sido dirigida. •»N „Señor: D. Juan Martin,…</t>
  </si>
  <si>
    <t>Martin, Manuel</t>
  </si>
  <si>
    <t>Manuel Martin</t>
  </si>
  <si>
    <t>…o ; trisagio y gozos de la Santísima Trinidad; dolo res y gozos de S. Josef, y responsorio de S. Antonio, con otras muchas oraciones y devociones. Recopilado de varios autores por D. Manuel Martin: un tomo en 8.°, con 28 laminas finas, en tafilete á 38 rs., en pasta fina á 20, ídem regular á 16, y sin láminas á 8 rs. en pasta con una portada fina. Se hallará en la librería de Hur tado, calle de las Carretas, y en el puesto de Sánchez, calle de Atocha.…</t>
  </si>
  <si>
    <t>Martin, Manuel Zorrilla de S.</t>
  </si>
  <si>
    <t>Manuel Zorrilla de S. Martin</t>
  </si>
  <si>
    <t>…llamar les, á la aplicación de los caudales existentes, conforme á lo determinado por las leyes para bienes perdidos. Se cita á los acreedores e interesados en la testamentaría de D. Manuel Zorrilla de S. Martin, que fue del comercio de lienzos en esta corte, para que concurran a la junta que ha de celebrarse el dia 9 de Setiembre próximo á las ocho en la po sada del Sr. D. Joaquín Almazan, del Consejo de S. M., teniente corregidor de esta villa, ante el escribano de…</t>
  </si>
  <si>
    <t>Martin, Pedro</t>
  </si>
  <si>
    <t>Pedro Martin</t>
  </si>
  <si>
    <t>…sef García Vázquez , D. Aquilino Lu nar, D. Pedro Gómez, D. Celedonio Casado, D. Vicente Berdion , Don Joa quín Lumeras, D. Tomas Asensio, D. Mateo Rodriguez, D. Valentín Ga veta, D. Pedro Martin, D. Antonio Fernandez, D. Andrés Redondo, Don Federico Movilla, D. Bernardo Huelga, D. Esteban Blanco, D. Miguel Alonrso, D. Cesáreo Viguera, D. Miguel Chana, D. Antonio Castro, D. Toribio González, D. Santiago Alonso, D. Tomas Pardo, D. Ignacio Ojero, Don Fe…</t>
  </si>
  <si>
    <t>Martindeiha</t>
  </si>
  <si>
    <t>T416 Khoordaeh,y se esmeraba que pronto se finalizaría la insurrección, en aten ción á que ios revoltosos se veían acometidos por todas partes. Ei general Martindeiha ha esparcido por todos los distritos una proclama, ofreciendo una amnistía general á los rebeldes que se retiren pacíficamente á sus hoga res y abandonen á los gefes, para quienes no habrá perdón. En los mismos papeles viene inserta una carta de Amboyna de 17…</t>
  </si>
  <si>
    <t>Martínez, Ana</t>
  </si>
  <si>
    <t>Ana Martínez</t>
  </si>
  <si>
    <t>…abla, á cada una de las cuales se Ies asigno tam bién su dote &amp;c. como las anteriores. De la escuela de Sta. Justa y Rufina se examinaron seis, y la mas adelantada entre ellas fue Doña Ana Martínez. Por último de la escuela de niñas pudientes, establecida por el mes de Abril de este año, se presentaron otras 14 alumnas; y sin embargo del poco tiempo de su enseñanza hubo seis entre ellas, que fueron Doña Ignacia de Medina y Pacheco, Doña María de los Dol…</t>
  </si>
  <si>
    <t>Martínez, Antonio</t>
  </si>
  <si>
    <t>Antonio Martínez</t>
  </si>
  <si>
    <t>…Doña María Juliana de Angulo: 484606 D. Juan Dagés: 491660 D. Francisco Antonio de Rivacoba: 492885 y 494253 Sr. tesorero general.__ De 6co pesos de Setiembre de 1808 : 233 y 276 D. Antonio Martínez (de Cuenca) : 3771,6116,8340 y 1 2246 Señor tesorero general.__De 300 pesos de Setiembre de 1808: 34495 D. Manuel dejas Fuentes: 34864 D. Pedro Josef Ramírez (de Santander): 44067 Do mingo Párramo___De 150 pesos de Setiembre de 1808: 176734 y 200685 Sr. tesor…</t>
  </si>
  <si>
    <t>…r, alférez mayor ,y teniente de corregidor , D. Francisco Antonio Jurado Valdelomar, teniente coronel, y capitán de granaderos del regimiento provincial de Córdoba, y el escribano D. Antonio Martínez de la Cruz. El dia 6 del presente mes felicitó á S. M. y A. la M. I. y L. villa de Aleira, cabeza de partido en el reino de Valencia, por medio de la diputación compuesta del Emo. y Excrno. Sr. cardenal patriarca de las Indias , del Exce lentísimo Sr. duque d…</t>
  </si>
  <si>
    <t>…ón general de los mismos en esta corte los vales Reales siguientes: Vales Reales de 150 pesos, creación de r.° de Setiembre de 18o 8. Números 184161 y 187809, endosados á favor de D. Antonio Martínez. Idem de J'OO de la misma creación. Números 17724, 38184,38356, 41572,60631,60957, 66187 y 66662, endosados á favor del anterior: números 56457 y 62141 , ídem al de Doña Ana Olmedo. Idem de 6 00 de la dicha creación. Números 6203, 6322, 136021 y 136022 , endo…</t>
  </si>
  <si>
    <t>1200</t>
  </si>
  <si>
    <t>…olo ha consistido en el alférez Di Florentino Camavillo, un trom peta y cuatro soldados del escuadrón cié mi guardia muertos en el campo de batalla, de dos soldados heridos, y del capitán D. Antonio Martínez y un sol dado prisioneros, táinbien heridos, que se hallan en Salta, todos del escuadrón de mi guardia : esta pérdida provino de la fogosidad y demasiado valor del dicho capitán , pues con sólo. 1,8: hoinbres que tenia á su mando cargó al ene migo , muy super…</t>
  </si>
  <si>
    <t>Martínez, Antonio Gouirand y</t>
  </si>
  <si>
    <t>Antonio Gouirand y Martínez</t>
  </si>
  <si>
    <t>…por disposición del señor juez de lo civil D. Hermene gildo Rodríguez de Ribera, del Consejo de S. M., su oidor en la Real audiencia de Sevilla, y escribanía publica del cargo de D. Antonio Gouirand y Martínez, se está subastando por el término de 30 dias, á reserva de señalar el de su remate, una casa que demarcada con el núm. 132 se halla situada en la calle Ancha de esta plaza, y apreciada por los alarifes del público, como de fábrica moderna y cuatro cuerpos, e…</t>
  </si>
  <si>
    <t>Martínez, Antonio Piernas</t>
  </si>
  <si>
    <t>Antonio Piernas Martínez</t>
  </si>
  <si>
    <t>…Agustín Tosantos y Laprada, corregidor de la ciudad de Guadix: para este corregimiento á D. Honorio María de Muro, que lo era de Almonte: para el de Montiüa, vacante por muerte de D. Antonio Piernas Martínez, á D. Antonio Pimentel y Valenzue-</t>
  </si>
  <si>
    <t>Martínez, Baltasar</t>
  </si>
  <si>
    <t>Baltasar Martínez</t>
  </si>
  <si>
    <t>…mayor; y habiendo padecido extravío, se suplica al que tenga noticia de dicha carta ó certificaciones las remita al mismo Caña á Valencia de Alcántara, ó entregue en esta corte á D. Baltasar Martínez, procurador de los Reales Consejos. Los suscriptores á ía obra titulada Agronomía, ó Diccionario manual del labra dor, acudirán á recoger el tomo 3.°, que comprende desde la letra G hasta la M in clusive, á la librería de Bailo, calle de las Carretas, y antic…</t>
  </si>
  <si>
    <t>Martínez, Fausto</t>
  </si>
  <si>
    <t>Fausto Martínez</t>
  </si>
  <si>
    <t>…rquitectura, demostradas por principios naturales; por Mr. Delagardette, arqui tecto discípulo de la Real academia de París: dibujado en mayor tamaño, y grabado al agua fuerte por D. Fausto Martínez de la Torre , y concluido 4 buril por D. Jo sef Asensio, discípulos de la Real academia de S. Fernando. Acompáñales un. trata do de sombras, con lo cual puede cualquiera imponerse en sombrear cualquier cuer po de arquitectura sin necesidad de maestro: se le h…</t>
  </si>
  <si>
    <t>Martinez, Fausto</t>
  </si>
  <si>
    <t>Fausto Martinez</t>
  </si>
  <si>
    <t>…ie de arcos; escrito en francés por Mr. Simonin, profesor de matemáticas, dado á luz por Mr. Delrgardette, arquitecto pensionado de S. M. Cristianísima, y traducido al español per D. Fausto Martinez de la Torre y D. Josef Asensio, pro fesores de arquitectura y grabado. Se hallará en casa de Tieso , calle de las Carretas. EN LA IMPRENTA REAL.</t>
  </si>
  <si>
    <t>Martínez, Felipe</t>
  </si>
  <si>
    <t>Felipe Martínez</t>
  </si>
  <si>
    <t>…dias 3 y 4 del corriente mes. Dióse principio por un papel alusivo al objeto, que leyó el primer maestro direc tor D. Cayetano Fernandez Villamil. Fueron examinados en aritmética Don Felipe Martínez , D. Antonio Ramón Zarneza, D. Joaquín Clavareza, Don Manuel María Ribero, D. Manuel Diaz, D. Vicente Rey, D. Anronio de Prado, D. Manuel Rodríguez Almeida, D. Fermín del Pedregal y D. Ra món Casal. En álgebra D. Josef Pujadas y D. Fermín Galccran. En geometr…</t>
  </si>
  <si>
    <t>Martinez, Francisco</t>
  </si>
  <si>
    <t>Francisco Martinez</t>
  </si>
  <si>
    <t>…uerto de Soller, en la isla de Mallorca, á D. Guillermo Julián, teniente graduado del regimiento de infantería de Mallorca: el del castillo de Paso-alto, en la isla de Tenerife, á D. Francisco Martinez, teniente gradua do del regimiento de infantería de Ultonia: la primera ayudantía de la plaza de Sevilla á D. Luis Cordero, que fue nombrado para otro empleo de esta</t>
  </si>
  <si>
    <t>…das deMombuy: D. Antonio Coca, médico titular de la villa de Igualada, para Caldetas: en Extremadura D. Josef Alegre Galan, médico titular de la villa de Campa nario, para Alange: D. Francisco Martinez, médico de número del egérciro, para la Fuente de Loro: en Galicia D. Benito Sanjurjo, médico de la ciudad de Orense, para Cortegada: D. Manuel Lasobo Fernandez, médico de Cal das de Reyes, para los baños de este mismo nombre: D. Manuel Domín guez, médico del…</t>
  </si>
  <si>
    <t>Martínez, Josef</t>
  </si>
  <si>
    <t>Josef Martínez</t>
  </si>
  <si>
    <t>…l alférez de húsares D. Joaquín Nuñez, al cadete de caballería ligera D. Bernardo Franco, que también hacia de mi ayudante, á los sargentos Narciso Otero, de la partida de España, D. Josef Martínez, de húsares, y Cornelio Nieves, de lanceros , asi como á los soldados del fijo Trinidad Reina, Francisco Jaso y Josef Villalon; habiendo estos dos últimos quitado la vida al rebelde ca becilla Villapinto, siendo acreedores igualmente á recomendación por haber…</t>
  </si>
  <si>
    <t>Martinez, Lucía</t>
  </si>
  <si>
    <t>Lucía Martinez</t>
  </si>
  <si>
    <t>…bano de provincia D. Valdomero Moraleda, se cita, llama y emplaza ó todas y cualesquier personas que se crean con derecho á los bienes quedados por el fallecimiento abintestato de Doña Lucía Martinez , acaecido en esta corte en 8 de Abril del año pasado de 1816, y que según noticia parece que era natural de Cartagena de Levante, para que en el preciso término de 30 días se presenten por sí ó por medio de procurador, con poder bastante, en el juzgado de di…</t>
  </si>
  <si>
    <t>Martinez, Manuel</t>
  </si>
  <si>
    <t>Manuel Martinez</t>
  </si>
  <si>
    <t>…D. Antonio Villa, y el de Burgos D. Juan de la Cruz Osores, que fueron heridos: Vara y Villa á pesar de sus heridas con tinuaron en la acción; y al teniente de cazadores de Burgos D. Manuel Martinez. El brigadier D. Josef Canterac ha manifestado á la cabeza de su columna el brío y valor que le distingue, debiéndose á su acertado movimiento y á la rapidez con que llevó los enemigos por delante la total dispersión y fuga de ellos. Los ayudantes de campo de…</t>
  </si>
  <si>
    <t>Martínez, Manuel del Nuevo y</t>
  </si>
  <si>
    <t>Manuel del Nuevo y Martínez</t>
  </si>
  <si>
    <t>…provincia Don Cárlos Rodriguez de Moya, se cita, llama y emplaza á todas y cualesquiera perso nas que tengan ínteres á los bienes que han quedado por fallecimiento abintestato de D. Manuel del Nuevo y Martínez, ocurrido en esta corte en 3 de Abril del año próximo pasado, para que en el término de 15 dias últimos y perentorios, conta dos desde el de esta publicación, concurran ante dicho señor alcalde y citada escri banía por sí ó sus apoderados á legitimar sus dere…</t>
  </si>
  <si>
    <t>Martínez, Manuel Josef</t>
  </si>
  <si>
    <t>Manuel Josef Martínez</t>
  </si>
  <si>
    <t>…cias; pero habiéndose acudido nuevamente al Consejo supremo de Almirantazgo (donde en el dia se hallan los autos) los síndicos de la quiebra de la casa comercio de Málaga titulada D. Manuel Josef Martínez y compañía, consignataria que fue del referido bergantín la Isabela; ha acordado dicho superior tribunal se haga saber por retardo el estado de estos autos por medio de la gaceta £ los expresados Gedeon, Snow y Troper Cavalier, para que dentro del preciso y p…</t>
  </si>
  <si>
    <t>Martinez, Manuel Segundo</t>
  </si>
  <si>
    <t>Manuel Segundo Martinez</t>
  </si>
  <si>
    <t>…á que no se sabe de la existencia de la mayor parte de ellos, siendo los que resultan de autos D. Manuel Royales , D. Pedro Martínez Retuerta, D. Francisco y D. Josef de Arratia, D. Manuel Segundo Martinez, D. Pedro del Rio, la viuda de D. Inocencio Sánchez, D. Manuel López de Rivas, D. Josef An gel de Santelices, Facundo Calleja, Juan Mejorada, Pedro de la Peña, Santiago Vallalado , D. Juan Miguel Alcalá, D. Francisco García de la Penilla, Juan Fer nandez, Bal…</t>
  </si>
  <si>
    <t>Martínez, Mariano</t>
  </si>
  <si>
    <t>Mariano Martínez</t>
  </si>
  <si>
    <t>…acreditaron to dos su aplicación y adelantamiento, sin embargo sobresalió entre todos Don Josef Lajusticia. En la sintaxis D. Antonio Bueno, D. Felipe Grima, Don Mariano Laplana, D. Mariano Martínez, D. Manuel Guerrero y D. Fran cisco Palacios trataron de todo lo concerniente á la sintaxis, en la que tam bién se acreditaron de aplicados, sobresaliendo entre todos D. Antonio Bue no , concluyendo ambos actos con su dia D. Eloy Pascual con una oración latin…</t>
  </si>
  <si>
    <t>sintaxis, sobresaliendo D. Agustín Perez. En seguida y en la clase de mayo res y retórica D. Pedro Grima, D. Miguel Martinez, D. Mariano Martínez y D. Eloy Pascual, que también manifestaron su aplicación y adelantamien tos, siendo el mas sobresaliente de ellos D. Pedro Grima. Todos los concurrentes quedaron sumamente complacidos de la aplica ción, disposición y adelantamientos de estos jóvenes; y el ilustre ayuntamiento…</t>
  </si>
  <si>
    <t>Martinez, Miguel</t>
  </si>
  <si>
    <t>Miguel Martinez</t>
  </si>
  <si>
    <t>sintaxis, sobresaliendo D. Agustín Perez. En seguida y en la clase de mayo res y retórica D. Pedro Grima, D. Miguel Martinez, D. Mariano Martínez y D. Eloy Pascual, que también manifestaron su aplicación y adelantamien tos, siendo el mas sobresaliente de ellos D. Pedro Grima. Todos los concurrentes quedaron sumamente complacidos de la aplica ción, disposición y adelantamientos de e…</t>
  </si>
  <si>
    <t>Martínez, Pascual</t>
  </si>
  <si>
    <t>Pascual Martínez</t>
  </si>
  <si>
    <t>…esta heroica villa de Madrid, y por la escribanía del número del cargo de D. Bernardo Díaz de Antoñana, donde se halla radicado el juicio de testamentaría del D. Fran cisco Arana. D. Pascual Martínez, presbítero en la villa de Perales de Tajuña, ofrece 3 rs. diarios, pagados mensualmente, á la maestra que quiera encargarse de ensenar una corta porción de niñas pobres, sin perjuicio de lo que la puedan valer el resto de las demas niñas de dicha villa: ha d…</t>
  </si>
  <si>
    <t>Martínez, Pedro López</t>
  </si>
  <si>
    <t>Pedro López Martínez</t>
  </si>
  <si>
    <t>…ara su inteligencia á los fines que le convengan. Por el presente se cita, llama y emplaza á rodos los acreedores que se presuman tener derecho á l©s bienes quedados por muerte de D. Pedro López Martínez y Do ña Paula Feliciana de Arenzana, su muger, para que en el término preciso y peren torio de 30 dias acudan ¿ deducirle al juzgado del Sr. D. Joaquin Almazan, y por la escribanía del número de D. Miguel Gonzalo* en el expediente formado á ins tancia del presbíte…</t>
  </si>
  <si>
    <t>…tierra y Jurisdicción, se han mandado sacar á pública subasta por término de 30 dias varías fincas sitas en la villa de Pinto y su término, pertenecientes á las testamentarías de D. Pedro López Martínez y Doña Paula Feliciana de A¡ enzana, que son á saber: una casa en la calle del Barranco, y vuelve á la de los Albanalcs, que tiene de sitio I93I3s P'es cuadrados superficiales, tasada en 109752 rs. y 24 mrs.: otra parte de casa unida á la anterior que llaman Cochera, en dicha calle…</t>
  </si>
  <si>
    <t>Martinez, Pedro López</t>
  </si>
  <si>
    <t>Pedro López Martinez</t>
  </si>
  <si>
    <t>…a de Madrid, se ha mandado sacar nuevamen te í pública subasta por término de 15 dias varias fincas sitas en la villa de Pinto y su término, pertenecientes i las testamentarías de D. Pedro López Martinez y Do ña Paula Feliciana de Arenzana, su muger , y son á saber: una casa en la calle del Barranco, que vuelve á la de los Albañales, que tiene de sitio 1^313§ pies cua-</t>
  </si>
  <si>
    <t>Martínez, Vicente</t>
  </si>
  <si>
    <t>Vicente Martínez</t>
  </si>
  <si>
    <t>…gándose el señor vocal decano D. Ignacio de Jáuregui de las aguas y baños de Sacedon, Trillo, el Molar y Puerto-Lla no en Castilla la Nueva; el segundo, individuo de la Real junta D. Vicente Martínez, de las de Navarra, Asturias, Valencia y Murcia; el tercero, Don Félix González, de las de Cataluña y Extremadura; el cuarto, D. Bartolo mé Pinera, de las de Andalucía; el quinto , D. Máximo Manuel Lorente, de las de Castilla la Vieja y Galicia; el sexto, D.…</t>
  </si>
  <si>
    <t>Martos, Antonio</t>
  </si>
  <si>
    <t>Antonio Martos</t>
  </si>
  <si>
    <t>…Rey, teniente del mismo regimiento de Lorena: la segunda de la de Mahon al capitán D. Juan Bautista Berthel, ayudante tercero de la misma: la de la de Seu de Urgei al subteniente D. Antonio Martos, sargento primero del regimiento de infantería de América; y la capitanía de llaves de Valencia de Alcántara al subteniente D. Diego Octavio, sargento primero de la compañía de inválidos hábiles de la misma plaza. A D. Josef Hernández, capitán de infantería d…</t>
  </si>
  <si>
    <t>Marwell</t>
  </si>
  <si>
    <t>…ada á yalerse de estratagemas y engaños, y aprovecharse de la oscuridad de la no che. Por último no quiso dar licencia para que el Alcestes entrase en el rio, lo cual visto por su capitán Marwell, no creyendo que el honor debido á su pabellón le permitiese someterse á los caprichos del virey, entro sin licencia; y como los dos castillos le hiciesen inmediatamente fuego, respondió á él con tal acierto que á breve rato los hizo callar. Al día siguiente…</t>
  </si>
  <si>
    <t>Marzan, Andrés</t>
  </si>
  <si>
    <t>Andrés Marzan</t>
  </si>
  <si>
    <t>…ítero, domiciliado en Cara cas ; D. Nicolás Blanco; D. Miguel García Carrasquedo; D. Francisco Es cudero; D. Ildefonso Ruiz del Rio; D. Luis Gargollo; D. Josef López del Diestro ; D. Andrés Marzan; D. Juan Miguel de Lostra; D. Antonio Fajar do; D. Tomas Urrutia; D. Josef Xavier de Zuluaga y D. Josef de Veamurguía, individuos de la junta de reemplazos establecida en Cádiz; D. Josef Miguel Formento, coronel de milicias de Fondo; D. Agustín Rodríguez y Fe…</t>
  </si>
  <si>
    <t>Mas, Ramón</t>
  </si>
  <si>
    <t>Ramón Mas</t>
  </si>
  <si>
    <t>…a acuda ante di cho señor juez, y por la escribanía de D. Antonio López de Salazar, que se admi tirá siendo arreglada. Se desea saber el paradero de Doña Ernesta Kjnkens, viuda de D. Ramón Mas, armero de una de los batallones de Voluntarios de Barcelona , que pasó al Norte con el Excmo. Sr. marques de la Romana, para comunicarla un asunto que la inte resa. El sugeto que lo sepa podrá avisarlo á Santander al mayordomo del Excmo. Se ñor obispo, y á T…</t>
  </si>
  <si>
    <t>Massena</t>
  </si>
  <si>
    <t>…” El resto del contingente del egército ingles, que debía salir de Francia, dió la vela de Calais el 3 de Abril para Inglaterra. El dia 5 del corriente falleció en esta capital el mariscal Massena. En todo el año de 1816 se han vacunado en el departamento de Meurthe 15600 individuos. El prefecto de este departamento adjudicó los premios prometidos á los que propagaron con zeio este saludable preservativo.</t>
  </si>
  <si>
    <t>Massenbach</t>
  </si>
  <si>
    <t>…en Aquisgran. DINAMARCA. Copenhague 26de Agosto. El dia 22 llegó aquí el caballero Iznardi é Izquierdo, ministro de Espa ña cerca de nuestra corte* PRUSIA. Berlín 26 de Agosto. EL coronel Massenbach, autor de unas memorias muy célebres sobre la guerra de 1797 y la de 1806 , que fue preso en Francfort del Mein en la no-</t>
  </si>
  <si>
    <t>Mata, Angel</t>
  </si>
  <si>
    <t>Angel Mata</t>
  </si>
  <si>
    <t>…tedrático, y declarar que todos indistintamente eran dig nos de ser premiados, como asi se hizo, distinguiendo no obstante con un primer premio á D. Benito Carretero; un segundo á D. Angel Mata; un ter cero á D. Pedro de la Santa Calleja, y otro á D.Isidoro Preciado. Madrid $ de Marzo. El día 8 del pasado tuvo la honra de felicitar á SS. MM. por su augusto enlace á nombre de la villa de Cañizares el Dr. D. Juan Nepomuceno Fue ro; quien entre otras c…</t>
  </si>
  <si>
    <t>Matajudíos, Antonio López Delgado</t>
  </si>
  <si>
    <t>Antonio López Delgado Matajudíos</t>
  </si>
  <si>
    <t>…ie. D. Juan Antonio López Delgado Matajudíos por línea paterna y ma terna; y los de Aguilar, Rivas, López Siruela, Márquez , Morales, Gómez y Mo&gt; ros á sus hijos legítimos el Lie. D. Antonio López Delgado Matajudíos y D. Geró nimo López Matajudíos, vecinos de Avila. Como son unos documentos que pue den interesar mucho á las personas que tengan derecho á ellos, el referido párroco desea llegue á noticia del público para que las personas á quienes pertenezcan pue dan recogerlos, pre…</t>
  </si>
  <si>
    <t>Matajudíos, Juan Antonio López Delgado</t>
  </si>
  <si>
    <t>Juan Antonio López Delgado Matajudíos</t>
  </si>
  <si>
    <t>…ada en contradictorio juicio en la chancillería de Valladolid por los caballeros López, origina!ios del reino ds Galicia, la cual toca y pertenece por línea recta de varón al Lie. D. Juan Antonio López Delgado Matajudíos, á sus hijos y descendientes legítimos. Otro es una certificación de armas de las ilustres casas, familias, nobleza y origen de los so lares y apellidos de López Delgado Matajudíos , Rodríguez , Jerez y Uceda, que per tenecen al Lie. D. Juan Antonio López Del…</t>
  </si>
  <si>
    <t>Mateo, Francisco</t>
  </si>
  <si>
    <t>Francisco Mateo</t>
  </si>
  <si>
    <t>…drid, de donde se fugó y volvió á reunirse al egército del expresado señor capitán general en Despeñaperros. El que supiere de su paradero ó fallecimiento se servirá comunicarlo á D. Francisco Mateo, del comercio de Salamanca, y en Madrid á D. Lope Diez de Aux, que vive calle de la Espada, núm. 13, cuarto 3.0 En la villa de Hontígola, partido de Toledo, á ocho leguas de esta corte, se ha lla vacante la plaza de capellán que diga la misa de alba, y ha de…</t>
  </si>
  <si>
    <t>Mathis</t>
  </si>
  <si>
    <t>…e habían reunido 2® hombres tumultuariamente; pero el capitán de gendarmería de la Costa-de-Oro los contuvo con 13 gendarmas, á los que se reunieron 12 guarda-bosques. El teniente coronel Mathis (nombrado despties coronel) con 27 cazado res del Charente dispersó, cargando vigorosamente, á varias cuadrillas en Brienon, y prendió á los principales instigadores del pillage. El teniente de gendarmería de Rochechouart reunió en S. Julián (AltaViena) 12 gu…</t>
  </si>
  <si>
    <t>Matías</t>
  </si>
  <si>
    <t>…cción de que se crea asistido; en inteligencia que pasado dicho término sin haberlo verificado, sin más citación que la presente, se declarará por ineficaz aque lla aceptación del D. Matías y garantía que este ha exigido para la satisfacción de la segunda, dándole el debido testimonio. Por decreto del Real tribunal del consulado de comercio de Cádiz, dictado ante su escribano mayor teniente D. Elias Izquierdo y Payan, en los autos de con curso d…</t>
  </si>
  <si>
    <t>Matos, Josef</t>
  </si>
  <si>
    <t>Josef Matos</t>
  </si>
  <si>
    <t>…a mírez Tous de Monsaive, de la orden militar de Alcántara , capellán de ho nor de S. M.‘, socio secretario de la diputación permanente por la Real junta de la ciudad de Lucena, y D. Josef Matos, escribano público y de cabildo de la última, tuvieron el honor en el dia 13 de Noviembre último de felici tar á SS. MM. y A A. por sus augustos enlaces en los términos siguiente?: ,, Señor : Los ayuntamientos de las villas de Sta. Marta y la Torre de los Sex…</t>
  </si>
  <si>
    <t>Matute, Antonio Gómez</t>
  </si>
  <si>
    <t>Antonio Gómez Matute</t>
  </si>
  <si>
    <t>…orrientes los títulos de sus legítimas adquisiciones, y estarán prontos para que se entere de ellos cualquiera persona que guste tratar de la compra en la escribanía del número de D. Antonio Gómez Matute en la ciudad de Granada. Se halla vacante el magisterio de primeras letras de la villa de Montalbanejo, provincia de Cuenca, cuya dotación son go fanegas de trigo de las creces ce! pósi to Real, 300 rs. del caudal de propios, 150 rs. que da el marques de Vill…</t>
  </si>
  <si>
    <t>Mauri</t>
  </si>
  <si>
    <t>…las 4600, en Africa 5©, en las regiones- templadas de las Amóricas 4®, en América entre los trópicos 13®, en la Nueva-Holanda y en las islas del mar Pacífico 3®. Se asegura que el cardenal Mauri ha sido víctima de un temor mal fun dado, pues habiéndole salido algunas postillas en los labios, creyó que le habían envenenado, y tomó tantos contravenenos que destruyeron su salud. PORTUGAL. Lisboa jo de Junio. Acaba de llegar de Rio-Janeiro en 52 dias de…</t>
  </si>
  <si>
    <t>Mauri, Antonio</t>
  </si>
  <si>
    <t>Antonio Mauri</t>
  </si>
  <si>
    <t>…eral de bienes mostrencas, vacantes y abintestatos se hallan pendientes los autos de denuncia puesta á la cantidad de 55052 rs. y r maravedí que obran en poder de los herederos de D. Antonio Mauri, vecino que fue de la ciudad del Puerto de Santa María , pertenecientes i los herederos de Juan Lamarca, que mu-</t>
  </si>
  <si>
    <t>Mauri, Juan Sifrein</t>
  </si>
  <si>
    <t>Juan Sifrein Mauri</t>
  </si>
  <si>
    <t>…s no tenemos relación alguna, y es indudable que habrán de conformarse con esta resolución. FRANCIA. París 50 de Mayo« En la noche del 10 al n de este mes falleció en Roma el Emo. Sr. Juan Sifrein Mauri, cardenal sacerdote de la Sta. iglesia romana, del título de la Santísima Trinidad del monte Pendo, arzobispo obispo de Monte-Fiascone y Corneto, de edad de cerca de 72 años: nació en 26 de Junio de 1745 en Valreas, ei» el antiguo condado Venaissin. Mr. Dubou…</t>
  </si>
  <si>
    <t>Maurin</t>
  </si>
  <si>
    <t>…en las costas de Africa, en las cuales está comprendida la pesca del coral; y S. M* Cristianísima se ha dignado permitir, que los extrangeros sean admitidos á la misma pesca. ,,E1 señor Maurin , que está nombrado interinamente agente principal de esta regalía , habrá llegado ya á Bona. En consecuencia los que quieran em prender la pesca del coral ? pueden hacerlo con la seguridad de que no en contrarán el menor obstáculo.” Roma 24 de Mayo. El 19 de…</t>
  </si>
  <si>
    <t>Máximo</t>
  </si>
  <si>
    <t>…e los si guientes beneméritos: D. Joaquín Cañedo, D. Bernardo García, D. Bernar do Cadenas, D. Agustín Bermejo, D. Tomas Perez, D. Blas Cadenas, Don Juan García, D. Manuel Ribera, D. Máximo y D. Joaquín Vargas, Don Felipe Crespo, D. Francisco Canillas, D. Pedro Miguel, D. Genaro Sal gado, D. Cándido de la Fuente , D. Josef García Vázquez , D. Aquilino Lu nar, D. Pedro Gómez, D. Celedonio Casado, D. Vicente Berdion , Don Joa quín Lumeras, D. Tomas Asensio, D. Mateo…</t>
  </si>
  <si>
    <t>Maxwell</t>
  </si>
  <si>
    <t>…ren dido al ver las maniobras de la fragata, empleó los ruegos y las amenazas para detenerla hasta que recibiese noticias de Cantón. Ultimamente intimó por medio del interprete al capitán Maxwell que mandaría á los buques de guerra hacer fuego contra la fragata; y que si lograse librarse de ellos, tirarían los fuertes, y la echarían á pique. No contento con esto amenazó quitar la vida á los ingleses que habia en Cantón. El capitán Maxwell, sin intimid…</t>
  </si>
  <si>
    <t>…outh y su familia han salido para París. Idem 5. Las cartas recibidas directamente de la China en Holanda por algunos buques americanos, con fecha de 18 de Diciembre, dicen que el capitán Maxwell se hallaba á la sazón en Cantón, esperando al embajador y su co mitiva para; pedir que se pusiese en libertad á los infelices chinos que estaban presos, y habían sido atormentados por haber servido de guias á los ingleses, enseñándoles el camino mas corto par…</t>
  </si>
  <si>
    <t>May, Mariano Canals y</t>
  </si>
  <si>
    <t>Mariano Canals y May</t>
  </si>
  <si>
    <t>…rbina y Daoiz, D. Josef Fuentes y Elias , D. Francisco Zacagnini y Monzon, D. Pablo Tous y Fíol, D. Miguel Jorganes y Mario, D. Antonio Venene y Andrade, D. Julián Gata y Malpica, D. Mariano Canals y May oís, D. Juan Molins y Cabañiés, D. Juan de Dios Valera y Viaña, D. Josef Zizur y Azanza, D. Tomas Mones y Puertas, D. Miguel Zizur y Azanza, D. Joaquín Basols y Marañosa, D. Josef Amat y Desvaíls, D. Pablo Navas y Loigorri, D. Josef Navarro y Alarcon , D. Agu…</t>
  </si>
  <si>
    <t>Maya, Francisco</t>
  </si>
  <si>
    <t>Francisco Maya</t>
  </si>
  <si>
    <t>7* al E. *. á las 12 de la misma mañana coloqué otea pieza k la derecha de la casa, con la cual y las dos primeras que dirigía el teniente de artille ría D. Francisco Maya, y estaban situadas á 100 pasos del lienzo que batia, se hacia un fuego tan horroroso, que á las 2 de la tarde apa recía demolida una parte de la fachada: esta batería estaba servida de 12 artilleros, y de ellos fueron heridos 10. Al momento dispuse el asalto…</t>
  </si>
  <si>
    <t>Mayo, Agustín</t>
  </si>
  <si>
    <t>Agustín Mayo</t>
  </si>
  <si>
    <t>…dulzura de carácter la satisfacción que le asistía en contribuir á tan gloriosa recompensa de su aplicación; finalizándose este acto con el discurso gratulatorio que leyó el socio D. Agustín Mayo, pintando con los mas vivos colores la satisfacción que le asistía al considerar en aquel acto un testimonio irrefragable de las utilidades que producen los trabajos del cuerpo patriótico, y el esmero con que los preceptores contribuyen á la edu cación de la…</t>
  </si>
  <si>
    <t>Mayo, Pablo</t>
  </si>
  <si>
    <t>Pablo Mayo</t>
  </si>
  <si>
    <t>…y Payan , en autos núm. 477 del año pasado de 1796, se manda’citar y emplazar á cualquiera que se considere con derecho al con curso y masa de' acreedores á Ja,-;testamentaría de D. Pablo Mayo, para que en el preciso término de 12 meses acudan á formalizarlo con los documentos que lo com prueben; prevenidos que de no hacerlo, los pagos y repartos que se egecuten serán sin cualidad de fianza de acreedor de mejor derecho, y cancelarán las que esten d…</t>
  </si>
  <si>
    <t>Mayoral, Nicolás Antonio Heredero y</t>
  </si>
  <si>
    <t>Nicolás Antonio Heredero y Mayoral</t>
  </si>
  <si>
    <t>…librería de la viuda de Quiroga, calle de las Carretas, á 54 reales en pasta. El Sepulcro de las delicias del mundo, escrito en francés por Mr. de la Serre, y traducido por el Br. D. Nicolás Antonio Heredero y Mayoral: un tomo en 4.% impreso en 1792. Véndese á 6 rs. en papel en el almacén de la imprenta Real. Nota. En algunos egemplares de la gaceta anterior, en el anuncio de los Sen timientos patrióticos, pág. 1052 , dice: Véndese á 2 rs., léase á 12, EN LA IMPRENTA REAL</t>
  </si>
  <si>
    <t>Me, Carlos</t>
  </si>
  <si>
    <t>Carlos Me</t>
  </si>
  <si>
    <t>…individuo de mérito, tuvo á bien mandar en Real orden de 20 de Mayo que pasase á Segovia el citado visitador para el objeto indicado; y habiéndolo verificado en la casa fábrica de D. Carlos Me sa , ordenó, mejoró y perfeccionó el tinte que habia en la nominada casafabrica. Y tanto por un certificado dado por dicho D. Carlos Mesa, como por otra declaración de ocho testigos imparciales, y por una justificación au torizada por la intendencia de aquell…</t>
  </si>
  <si>
    <t>Meade, Ricardo</t>
  </si>
  <si>
    <t>Ricardo Meade</t>
  </si>
  <si>
    <t>…, titulada en Cádiz Meade, Cathcart y com pañía, se ha disuelto de conformidad de los interesados en virtud de provi dencias del tribunal del consulado; y habiéndose acordado que D. Ricardo Meade liquide y cobre todos los créditos correspondientes á la compañía, se ha mandado anunciar al público para inteligencia de los que tengan relacio nes de cualquiera clase con la expresa sociedad. Con facultad de los Señores del Real y supremo Consejo de Castill…</t>
  </si>
  <si>
    <t>Medina, Fernando</t>
  </si>
  <si>
    <t>Fernando Medina</t>
  </si>
  <si>
    <t>…Estado; D. Juan Anto nio Mendez, director de la compañía del Guadalquivir; D. Manuel Zuaznabar, sumiller de cortina de S M. ; D. Manuel Zoilo, dignidad de la cate dral de Astorga, D. Fernando Medina, administrador de Rentas de Llerena; D. Santiago Jonatna, cónsul de S. M. en Amsterdam; D. Tadeo Jaudenes, decano del tribunal de cuentas de la Havana; D. Manuel Yarto, comisario ordenador honorario; D Juan Vallejo, dignidad de la catedral de Tarazona, y dire…</t>
  </si>
  <si>
    <t>Medina, Miguel de Luque y</t>
  </si>
  <si>
    <t>Miguel de Luque y Medina</t>
  </si>
  <si>
    <t>…alcalde mayor que era de Guadalajara-*. para el de Estepa á D. Lorenzo Cazaux : para el de Gibraltar á D. Julián Ruiz Marín, alcalde mayor que era de Ubrique: para el de Bedmar á D. Miguel de Luque y Medina: para el de Ponferrada á O. Nico lás Gómez Villaboa , alcalde mayor que era de Villafranca del Vterzo; y para el de Estepona á D. Carlos Tomas Banetti: para la vara de Alhendin á X). Francisco de Paula de Cárdenas : para la del Viso de Alcor á D. Amonio María…</t>
  </si>
  <si>
    <t>Medrano, Josef</t>
  </si>
  <si>
    <t>Josef Medrano</t>
  </si>
  <si>
    <t>…á D. Luis Herrero, alcalde por el estado noble de aquella ciudad; pues debe proveerse inmediatamente dicha cátedra. Catecismo de la doctrina cristiana explanado por el presbítero D. Josef Medrano, misionero apostólico, siguiendo en todo el espíritu del P. Gerónimo de Ripalda. El mismo autor también ha dado á luz otro chiquito en cuartetas, para mayor utilidad de los niños, llevando antes de las cuartetas las preguntas y respuestas en prosa, á fin de q…</t>
  </si>
  <si>
    <t>Meedge</t>
  </si>
  <si>
    <t>…ido enteramente." GRAN BRETAÑA. Londres 28 de Mayo. Mr. Biot, individuo de la academia de ciencias de París, ha venido á In glaterra con objeto de acompañar á las islas Oreadas al coronel Meedge en una expedición importante á las ciencias. Acompañarán á estos dos sabios el capitán Colby y el Dr. Gregory , individuo de I3 academia militar de Wolwich, todos los cuales se dirigirán á las Oreadas para hacer simultánea mente las observaciones astronómicas…</t>
  </si>
  <si>
    <t>Mehemed-bajá</t>
  </si>
  <si>
    <t>…ncias asiáticas, donde se había manifestado el fuego de la insurrección, están tam bién pacificadas. En el dia se asegura que ha habido una nueva revolución en el Cairo con tra el gobernador Mehemed-bajá. Corren voces también de que ha sido der rotado y hecho prisionero por los insurgentes No se ha publicado nada so bre este asunto ; y se dice que el divan no tiene noticias autenticas, y que las espera con mucha impaciencia. GRAN BRETAÑA. Londres 8 de Agosto.…</t>
  </si>
  <si>
    <t>Meisner</t>
  </si>
  <si>
    <t>…preparación de la gelatina de los huesos y su uso en Ginebra; Mr. Meyer, farmacéutico de St. Gall, leyó,otra sobre el modo de preparar en la Suiza oriental las bombas de vapor; el profesor Meisner otra sobre los huesos fósiles en Suiza ; el catedrático Cándolle sobre la geografía de las plan tas; el director de minas Lardy sobre las capas de yeso del Valais y del Tessino; el catedrático Studer sobre una especie particular de piedras halla das en Gemmi;…</t>
  </si>
  <si>
    <t>Melci, Josef de Palafox y</t>
  </si>
  <si>
    <t>Josef de Palafox y Melci</t>
  </si>
  <si>
    <t>493</t>
  </si>
  <si>
    <t>….. .. En Bureos. I3166........................ .. 1000 idem........ .. En Madrid. ARTICULO DE OFICIO. Circular del Ministerio de Guerra. Al capitán general de los Reales egércitos D. Josef de Palafox y Melci digo con fecha de 4 de Mayo actual lo que sigue: „ Deseando el Rey nuestro Señor dar un público testimonio del particu lar aprecio que le merecen los servicios hechos durante su cautiverio por los habitantes de la inmortal Zaragoza, y especialmente los que co…</t>
  </si>
  <si>
    <t>Melendez, Ambrosio</t>
  </si>
  <si>
    <t>Ambrosio Melendez</t>
  </si>
  <si>
    <t>…” S. M. se dignó oír con la bondad que le es característica este discurso, y le fueron muy gratos los sentimientos de la ciudad de Búrgos. Los comisionados de la ciudad de Segovia D. Ambrosio Melendez y Don Julián Tomé de la Infanta tuvieron la honra de felicitar á S. M. el dia 6 del corriente, con igual motivo, en los términos siguientes: „ Señor: La ciudad de Segovia tiene el honor de felicitar respetuosamente á V. M. por el venturoso alumbramiento de la Reyna nuestra Señ…</t>
  </si>
  <si>
    <t>Melendez, Josef</t>
  </si>
  <si>
    <t>Josef Melendez</t>
  </si>
  <si>
    <t>…ente; Dr. D. Andrés de Trevilla, provisor; de otras autoridades; de va rios sugetos de la mayor distinción , y de un numeroso y escogido concurso. Dió principio á la sesión el Dr. D. Josef Melendez, rector de la parroquial de S. Nicolás de la Villa, individuo de la diputación científica de la socie dad y de la del colegio de Educandas, leyendo un discurso, en que manifes taba las ventajas que justamente deben esperarse de las'asociaciones literarias,</t>
  </si>
  <si>
    <t>Melgarejo, Francisco</t>
  </si>
  <si>
    <t>Francisco Melgarejo</t>
  </si>
  <si>
    <t>…ballerizo de S. M.; D. Eusebio Bardaxí y Azara, embajador cerca del Rey de Cerdeña; D. Cristóbal Bencomo, confesor de S. M.; D. Juan Yanez Bahamonde, comisario general de Cruzada; Don Francisco Melgarejo, teniente general de ¡a Real armada, y capitán general del departamento del Ferrol, y al príncipe Barberini. Cruces de mímero ,. A D JosefVilIaluengayMarfil, ministro jubilado del consejo de lodías, a D. Diego de la Vega .oficial de la secretaría del despacho…</t>
  </si>
  <si>
    <t>Melgosa, Mariano</t>
  </si>
  <si>
    <t>Mariano Melgosa</t>
  </si>
  <si>
    <t>…ión, que la determinó á concluir en breve la empre sa , adoptando las ideas convenientes al efecto , que propuestas al Rey fue ron aprobadas. La dirección ha dado ya cuenta de que D. Mariano Melgosa, administrador de las obras , ha comunicado la noticia de que el 18 de Diciem bre último se verificó la rotura de la parada, empezando el desagüe de la la</t>
  </si>
  <si>
    <t>Mellado, Alfonso García</t>
  </si>
  <si>
    <t>Alfonso García Mellado</t>
  </si>
  <si>
    <t>…la Mancha, se avi sa al público para que el que quiera establecerla en ella acuda al ayuntamiento de la1 misma por todo el presente mes de Marzo, dirigiendo memorial por medio de D. Alfonso García Mellado, escribano del mismo. La villa está distante 21 leguas de Madrid, y tiene 500 vecinos, 80 pares de muías y 600 caballerías menores. EL término concedido para la admisión de memoriales en la vacante de la cáte dra de latinidad de la ciudad de Arnedo se ha pror…</t>
  </si>
  <si>
    <t>Mellerio</t>
  </si>
  <si>
    <t>…su corte. Cuando salió de Roma se hallaba S. S. perfectamente restablecido de su última indisposición. Se espera aqui la diputación del reino Lombardo-Véneto, y se asegura que el conde Mellerio, vice-presidente del gobierno civil de la Loinbardía, viene al frente de ella. El conde de Saurau se pondrá pronto en camino para Madrid. La uni versidad de Pavía le ha conferido el grado de doctor en filosofía. El general Langenau (que sirvió ea otro tiempo…</t>
  </si>
  <si>
    <t>Meló, Fulgencio Marcelo</t>
  </si>
  <si>
    <t>Fulgencio Marcelo Meló</t>
  </si>
  <si>
    <t>…te formal que al efecto se hizo por los dos comisionados. Y habiendo sido exa minados y preguntados detenidamente por algunos de los concurrentes, y con particularidad por el Lie. D. Fulgencio Marcelo Meló, alcalde mayor por S. M. en dicha villa , y por el Lie. D. Miguel de Navedo y Agüero, ar cipreste, cura vicario en ella , todos los niños á porfia manifestaron suficien temente dar las pruebas mas completas de sus conocidos adelantamientos, á pesar de sus cor…</t>
  </si>
  <si>
    <t>Melville</t>
  </si>
  <si>
    <t>…o el consejo de ministros, al que asistieron el lord canciller, los condes de Harrowby, de Westmoreland y de Liverpool, los vizcondes Sidmouth y Castlereagh, el conde Bathursr, el vizconde Melville, el canciller del Echiquier, los señores Bathurst y Canning , el conde Mulgrave y Wellesley Pole. La sesión duró desde las dos hasta inas de las cuatro de la tarde. El Gobierno francés acaba de negociar un empréstito de 300 millones de francos con los capital…</t>
  </si>
  <si>
    <t>Men, Juan</t>
  </si>
  <si>
    <t>Juan Men</t>
  </si>
  <si>
    <t>Los discípulos presentaron sus obras, y examinadas por los profesores se adjudicó el primer premio (que fue preciso duplicarlo) á D. Juan Men doza y D. Antonio Vicente, y el segundo, en que sucedió lo mismo, á Don Nicasio López y D. Josef Yarza, unos y otros de la sala de arquitectura: en la del modelo, por lo tocante á escultura , se confirió á D. Matías Ayardi; y en la parte de dibujo á D. Toribi…</t>
  </si>
  <si>
    <t>Menchero, Josef</t>
  </si>
  <si>
    <t>Josef Menchero</t>
  </si>
  <si>
    <t>…r de los Reales egércitos, para Trillo: D. Tomas Bermudez, existente en Madrid, para el Molar: D. Atanasio Herraiz, médico de la villa de Ga^cueña, en la Alcarria, para Alcantud : D. Josef Menchero, médico de número de los Reales egércitos, y de la fábrica de las espadas de la ciudad de Toledo , para Solan de Cabras: Don Carlos Martin del Romeral, establecido en esta corte, para Puertollano: en Castilla la Vieja D. Pablo Montesino para Ledesma: D. Juan…</t>
  </si>
  <si>
    <t>Mendez, Eleuterio</t>
  </si>
  <si>
    <t>Eleuterio Mendez</t>
  </si>
  <si>
    <t>…oducto se repartió entre la tropa que iba en la partida, todo lo que espero sea de la aprobación de V. E. „A pesar del zelo y actividad incansable del teniente de dragones del Rey D. Eleuterio Mendez, y de la escrupulosa requisición que hizo por aquellas inmediaciones luego que amaneció, no encontró ni el rastro por donde se fu garon los rebeldes cuando les cayó encima de sorpresa , y no encontró nin gún enemigo, por lo que debo presumirme que con el sile…</t>
  </si>
  <si>
    <t>Mendez, Josef</t>
  </si>
  <si>
    <t>Josef Mendez</t>
  </si>
  <si>
    <t>…denuncia puesta á una casa como de incierto dueño, sita en la ca lle de S. Hermenegildo de esta corte, señalada con el núm. 1 , manz. 516; y ha biendo ocurrido el fallecimiento de D. Josef Mendez de la Vega, que se mostró parte en ellos por sí y como apoderado de Doña Ana Sancho Ramos, su hermana política, y madre de Urbano, Julián y Cipriano, hijo y nietos respective de Fran cisca Infanzón García, vecina que fue de esta propia corte, se cita, llama y…</t>
  </si>
  <si>
    <t>Mendiburo, Juan Manuel</t>
  </si>
  <si>
    <t>Juan Manuel Mendiburo</t>
  </si>
  <si>
    <t>…castellanos viejos las felicidades que deben prometerse de la unión y fruto de sus vir tuosos Soberanos.” El día 7 del corriente tuvo la honra de presentarse á S. M., á nombre del brigadier D. Juan Manuel Mendiburo, D. Francisco Panizo y Foronda, co misario de guerra honorario , y dijo lo siguiente: „Señor: El brigadier D. Juan Manuel Mendiburu , gobernador de vues tra provincia de Guayaquil ,en el vireinato del Perú ,me ha comisionado para que tenga el honor de poner á…</t>
  </si>
  <si>
    <t>Mendiburu, Juan Manuel</t>
  </si>
  <si>
    <t>Juan Manuel Mendiburu</t>
  </si>
  <si>
    <t>…o la honra de presentarse á S. M., á nombre del brigadier D. Juan Manuel Mendiburo, D. Francisco Panizo y Foronda, co misario de guerra honorario , y dijo lo siguiente: „Señor: El brigadier D. Juan Manuel Mendiburu , gobernador de vues tra provincia de Guayaquil ,en el vireinato del Perú ,me ha comisionado para que tenga el honor de poner á L. R. P. de V. M. estas insignias militares, con las que se arman los indios gibaros, habitantes de vuestra ciudad de Logroño, desc…</t>
  </si>
  <si>
    <t>Mendiburu, Juan Manuel de</t>
  </si>
  <si>
    <t>Juan Manuel de Mendiburu</t>
  </si>
  <si>
    <t>…profesa á V. M.; quedando este ayun tamiento rogando al Todopoderoso conserve la preciosa é importante vida de V. M. dilatados años para consuelo de sus vasallos.’1 El b rigadier D. Juan Manuel de Mendiburu, gobernador de Guayaquil, en el reino del Perú , ha remitido con fecha de 3 de Abril las siguientes no ticias. La expedición que por orden del vireinato del Perú salió á principios del mes de Setiembre del año próximo pasado de la ciudad de Cuenca para des cr…</t>
  </si>
  <si>
    <t>Mendieta, Jaime Aívarez de</t>
  </si>
  <si>
    <t>Jaime Aívarez de Mendieta</t>
  </si>
  <si>
    <t>…ontra varios vecinos de Caspe sean examinadas en unión por D. Bernardo de Riega, de mi consejo y cámara de Castilla; el conde de Torre-Muzquiz, de mi consejo y cámara de Indias, y D. Jaime Aívarez de Mendieta, de mi consejo de Hacienda; quienes en su consecuen cia, y teniendo á la vista el parecer adjunto, me consultarán en el término mas breve posible su dictámen.” Circular del Consejo Real. Con fecha 17 de Setiembre de este año se dirigió al Consejo de orden de…</t>
  </si>
  <si>
    <t>Mendizabal, Gabriel de</t>
  </si>
  <si>
    <t>Gabriel de Mendizabal</t>
  </si>
  <si>
    <t>…l Consejo Supremo de la Guerra digo con esta fecha lo siguiente : „Enterado el Rey nuestro Señor de cuanto expuso al Consejo Supremo de la Guerra en 22 de Marzo último el teniente general D. Gabriel de Mendizabal, ministro del propio Consejo, encargado de la redacción de hojas de servicios de los oficiales generales con arreglo á lo prevenido en Real orden de 17 de Junio del año pasado de 1815 , acerca del descuento de años de servicio que debía hacer en la hoja que e…</t>
  </si>
  <si>
    <t>Mendizabal, Josefde</t>
  </si>
  <si>
    <t>Josefde Mendizabal</t>
  </si>
  <si>
    <t>…no á mas interesante presa. Dios guarde á V. S. muchos años. Morochata 28 de Abril de 1817. = Joséf Manuel Fernandez de Antesana. = Sr. coronel gobernador iatendente y co mandante general D. Josefde Mendizabal é Imaz.” Ronda 4 de Noviembre. El Real cuerpo de maestranza caballería de esta ciudad, en celebridad del plausible dia de su dignísimo Hermano mayor el Sermo. Sr. Infante Den Carlos María , y en observancia de su instituto,se formó á caballo en la tar de del…</t>
  </si>
  <si>
    <t>Mendoza, Antonio Sarmiento de</t>
  </si>
  <si>
    <t>Antonio Sarmiento de Mendoza</t>
  </si>
  <si>
    <t>…vertido á su idioma, habiendo algunas que cuentan varias traducciones de él. Ea España,después de las que publicaron en 1587 Juan Sedeño, natural de J ¡draque, en 1649 el húrgales D. Antonio Sarmiento de Mendoza, y en 1722 D. Antonio Toledo, aparece esta nueva traducción, sobre cuyo mérito decidirán los inteligen tes en el dificilísimo egercicio de traducir poesías. Se hallará de venta en la. librería de la viuda de Barco López, calle de la Cruz; en Sevilla en la de…</t>
  </si>
  <si>
    <t>Mendoza, Arias Gonzalo de</t>
  </si>
  <si>
    <t>Arias Gonzalo de Mendoza</t>
  </si>
  <si>
    <t>…gislación religiosa, políti ca, civil, criminal y moral de los hebreos: por Mr. de Pastoret, individuo de va rias academias de Europa; traducido y adicionado considerablemente por D. Arias Gonzalo de Mendoza: dos tomos en 4° Se hallan de venta en la librería de Campo, cafe de Alcalá, frente al Buen Suceso: su precio 48 rs. en pasta; en donde se ven derán al precio de suscripción los tomos de las Conferencias de Angers á todos los que acrediten con el correspondie…</t>
  </si>
  <si>
    <t>Mendoza, Francisco Hurtado de</t>
  </si>
  <si>
    <t>Francisco Hurtado de Mendoza</t>
  </si>
  <si>
    <t>…ca ;, D. Esteban Rodrí guez Salas, canónigo de la catedral de Málaga; D. Josef de Urrutia y Egurvide Azula canónigo de la metropolitana de Valencia. Gages de secretario de S. M. A D. Francisco Hurtado de Mendoza, archivero de la primera secretaría de Estado, con honores de oficial segundo de ella. Honores de secretario de S. M. A D, Andrés de Egaña , oficial mayor de la tesorería de la Real y distin guida orden de Carlos m; D. Mariano Tríbes Valdivieso, capitán retir…</t>
  </si>
  <si>
    <t>Mendoza, Iñigo López de</t>
  </si>
  <si>
    <t>Iñigo López de Mendoza</t>
  </si>
  <si>
    <t>…ges sacratae. Draconis et Solonis, atheniensium principum, placita. Impresa en 1794,4 6 rs. en pa pel. Véndese en el almacén de la imprenta Real. Proverbios Utilísimos del ilustre caballero D. Iñigo López de Mendoza, marques de Santillana*. impreso en 1787, á 3 rs. en papel. Véndese en el almacén de la imprenta Real. Apuntamientos sobre el mejor modo de enseñar y estudiar las ciencias, dirigi dos al Rey Felipe ir, por el sabio Pedro Simón Abril, añadidos con varias obser…</t>
  </si>
  <si>
    <t>Mendoza, Isidro</t>
  </si>
  <si>
    <t>Isidro Mendoza</t>
  </si>
  <si>
    <t>…no sin haber comparecido, sin mas citarles ni llamarles, se dará la providencia difinitiva que cor responda, y Ies parará el perjuicio que haya lugar. Quien supiere del destino de D. Isidro Mendoza, natural de Salamanca, y veci no de Madrid, hijo de D. Ramón y de Doña María Francisca Peraira, que casó en la Membrilla, provincia de la Mancha, con Doña Eugenia García Nuñez, y salló de la Coruña en el año de 1811 con dirección á Granada, tendrá la bondad d…</t>
  </si>
  <si>
    <t>Mendoza, Pedro González de</t>
  </si>
  <si>
    <t>Pedro González de Mendoza</t>
  </si>
  <si>
    <t>…se veian colocados en los lugares correspondientes el retrato de S. M., el de su augusto Hermano el Sermo. Sr. Infaute D. Cárlos, protector de los colegios mayores, y el del gran cardenal D. Pedro González de Mendoza, fundador de esta casa, abrió el acto el primero con un breve pero enérgico discurso, en que, anunciando á los concurrentes el motivo de su reunión, hizo un ligero resúmen de las ventajas que se debían esperar del restablecimiento de unas comunidades que en t…</t>
  </si>
  <si>
    <t>Mendoza, Romualdo de</t>
  </si>
  <si>
    <t>Romualdo de Mendoza</t>
  </si>
  <si>
    <t>…Juan de Dios Cevallos, al coronel de los Reales egérdtos D. Josef Alfaro. También se ha servido S. M. conceder honores &lt;kl tribunal Real y Apos tólico de la gracia del Excusado á D. Romualdo de Mendoza, canónigo dig nidad de chantre de la santa iglesia catedral de Calahorra. D. Josef Pió Domínguez, comisionado para la construcción de caminos en el viren ato de Sta. Fe, avisa al Excmo. Sr. D. Pascual Enriledesd# Gua dua, con fecha del 20 de Julio ultimo, que…</t>
  </si>
  <si>
    <t>Mendoza, Santiago</t>
  </si>
  <si>
    <t>Santiago Mendoza</t>
  </si>
  <si>
    <t>…remitidos por el Excmo. Sr. I&gt;. Joset de la Cruz, comandante general de la Nueva-Galicia, al Excmo. Sr. virey. i.° ,,Excmo* Sr.: Anoche hice salir de esta al teniente de realistas Don Santiago Mendoza con una partida de 40 hombres , y orden de que en ama neciendo viese si podía sorprender junto á la cañada del Ojo de Agua á una corta gavilla de Moreno que interceptaba el camino de esta villa á Ciénega, y hace repetidos robos en aquella hacienda. Al amanece…</t>
  </si>
  <si>
    <t>Menezo, Pedro</t>
  </si>
  <si>
    <t>Pedro Menezo</t>
  </si>
  <si>
    <t>52</t>
  </si>
  <si>
    <t>…dividuos de los mencionados cuerpos, sus hijos, y los de los habitantes de las tierras ó barrios en que los mismos cuerpos tuvieren sus cuarteles.’* ESPAÑA. México 2 o de Mayo. El coronel D. Pedro Menezo, comandante de la línea de puestos milita res de oriente á sur de esta capital, dirigió en 16 del actual un parte al Ex celentísimo Sr. virey, que extractado es como sigue;</t>
  </si>
  <si>
    <t>5 ? ,,Dios guarde á V. S. muchos años. Cuaximalpa Mayo 15 de 1816. ^Vicente Lara.zz. Sr. coronel D. Pedro Menezo.” Madrid jj de Enero. Los ayuntamientos de las villas de Sta. Marra y la Torre de los Sexme ros, provincia de Extremadura, por medio de sus comisionados D. Luis Ra mírez Tous de Monsaive, de la orden militar de Alcántara , capellán de ho nor de S. M.‘, socio…</t>
  </si>
  <si>
    <t>Menos, Miguel Ribot y</t>
  </si>
  <si>
    <t>Miguel Ribot y Menos</t>
  </si>
  <si>
    <t>…. No desempeñaron con menor lucimiento y gusto del ilustrado público la pa rte del certamen que les tocó los otros alumnos, quienes disertaron sobre las proposiciones siguientes : D. Miguel Ribot y Menos: Para que el crédito público sea útil, y no per judique á la nación que use de él, es necesario que sea sabiamente combina do y religiosamente sostenido por las leyes. D. Gerónimo Cabañes: Los tributos deben recaudarse por administración? y nunca por arriendo…</t>
  </si>
  <si>
    <t>Menoyo, Manuel</t>
  </si>
  <si>
    <t>Manuel Menoyo</t>
  </si>
  <si>
    <t>…irector de aquel hospicio; marques de Casasola, vecino de Anrequera, D. Josef Salome García Iuente, canónigo de la catedral de Segovia, y director del Real hospicio de esta corte; D. Manuel Menoyo, tesorero de la provincia de Toledo; D. Luí* Peñalver, vecino de la Havana; D. Pedro oainz de Baranda, vocal de la junta de dirección de la Real casa de niños desamparados ; D. Santiago Antonio Ilarraza, capellán de honor de S. M , con opcion a la de numero;…</t>
  </si>
  <si>
    <t>Menzana, Josef Julián Ximenez de</t>
  </si>
  <si>
    <t>Josef Julián Ximenez de Menzana</t>
  </si>
  <si>
    <t>…e atacaron los rebeldes al pueblo de Juchipila, en la provincia de Zacatecas, el que fue defendido vigorosamente por fuerzas muy inferiores, señalándose las señoras de la casa del comandante D. Josef Julián Ximenez de Menzana Doña Dolores Romero, su esposa, Doña María Ro mero , Doña Josefa Perez, Doña Juana Landeros, Doña Dimas de Luna, María Máxima y las criadas, á quienes el Excmo. Sr. virey concedió el uso de una cinta blanca con cantos de color de oro. EJ 21 del mismo Octubre march…</t>
  </si>
  <si>
    <t>Meras, Diego</t>
  </si>
  <si>
    <t>Diego Meras</t>
  </si>
  <si>
    <t>…dos Tos ramos fueron D. Demetrio Vasconi, D. Francisco Rodríguez Sánchez, D. Mariano Guerrero, D. Josef Vega Serien, D. Francisco Cívico , D. Salvador Mifsud, D. Manuel Gimé nez y D. Diego Meras. Madrid 21 de Febrero» El dia 19 del. pasado tuvo la honra de besar la Real mano de S. M. una diputación de la suprema asamblea de la Real&gt; y distinguida orden de Car los 111; en cuyo nombre dijo : „Señor: La suprema asamblea de la Real y distinguida orden de…</t>
  </si>
  <si>
    <t>Meri, María Antonia Sanz</t>
  </si>
  <si>
    <t>María Antonia Sanz Meri</t>
  </si>
  <si>
    <t>…onal de S. Carlos: 399968 Doña Monica González: 406018 y 407829 D. Francisco Arxer é h-jo (.de Barcelona) 1408939 Doña María Antonia Sanz Merino: 409380 D. Josef Arratia : 41 1609 Doña María Antonia Sanz Meri no___ De 30c pesos de Ma) o de 1808: 429525 Sres. Sánchez y Lozano: 441445 y 442975 D Juan Dagés: 446152 Doña María Juliana de Angulo: 484606 D. Juan Dagés: 491660 D. Francisco Antonio de Rivacoba: 492885 y 494253 Sr. tesorero general.__ De 6co pesos de Setie…</t>
  </si>
  <si>
    <t>Merino, Baltasar Zapata y</t>
  </si>
  <si>
    <t>Baltasar Zapata y Merino</t>
  </si>
  <si>
    <t>…. en pasta y 48 en pergamino. El duelo juzgado en el tribunal de la razón y del honor: escrito en francés por J. Lapanótlse, capifahi^e dragones; y traducido al español por el Dr. D. Baltasar Zapata y Merino; con un discurso del traductor sobre el origen de los duelos, su forma, su duración y total extinción por las leyes. Se vende á 6 rs. á la rústica en ta librería de Pérez, calle de las Carretas. Meditaciones,.himnos, letanía y misa para la octava del Santísim…</t>
  </si>
  <si>
    <t>Merino, María Antonia Sanz</t>
  </si>
  <si>
    <t>María Antonia Sanz Merino</t>
  </si>
  <si>
    <t>…Domingo Mas y Somoza: 39735 t D. Andrés Ortiz: 397951 Banco Ra cional de S. Carlos: 399968 Doña Monica González: 406018 y 407829 D. Francisco Arxer é h-jo (.de Barcelona) 1408939 Doña María Antonia Sanz Merino: 409380 D. Josef Arratia : 41 1609 Doña María Antonia Sanz Meri no___ De 30c pesos de Ma) o de 1808: 429525 Sres. Sánchez y Lozano: 441445 y 442975 D Juan Dagés: 446152 Doña María Juliana de Angulo: 484606 D. Juan Dagés: 491660 D. Francisco Antonio de Rivacob…</t>
  </si>
  <si>
    <t>Merino, Martin</t>
  </si>
  <si>
    <t>Martin Merino</t>
  </si>
  <si>
    <t>ii°3 cóndecoración dé la flor de Lis con queS. M. Cristianísima tuvo á bien agra ciarle. El teniente coronel de infantería D. Martin Merino, caballero de las Rea les y militares órdenes de S. Fernando y S. Hermenegildo, hizo presente al Rey nuestro Señor los particulares servicios con que D. Santiago Larnaud, vecino de Macón en Francia, contribuyó á mejorar la suerte de los prisio neros españoles…</t>
  </si>
  <si>
    <t>Merlo, Josef García</t>
  </si>
  <si>
    <t>Josef García Merlo</t>
  </si>
  <si>
    <t>…Al varo de Navia y Osorio, D. Juan de ia Lastra y Mata, D. Dionisio Sierra y Abello, D. Antonio Jácome y Villena, D. Antonio Fernandez Pinzón, Don Antonio de los Reyes y Céspedes, D. Josef García Merlo, y á los artilleros disti nguidos D. Josef Torrecilla, D. Adriano Torrecilla y D. Josef de Puente. Se vende una casa sita en la calle de Santiago el Verde de esta población, seña lada con el núm. 13 de la ímnz. 76, comprensiva de 3275 pies y ^ de otro cua dra…</t>
  </si>
  <si>
    <t>Mesa, Carlos</t>
  </si>
  <si>
    <t>Carlos Mesa</t>
  </si>
  <si>
    <t>…habiéndolo verificado en la casa fábrica de D. Carlos Me sa , ordenó, mejoró y perfeccionó el tinte que habia en la nominada casafabrica. Y tanto por un certificado dado por dicho D. Carlos Mesa, como por otra declaración de ocho testigos imparciales, y por una justificación au torizada por la intendencia de aquella ciudad , resulta que en muy corto tiempo ha enseñado á dos discípulos, que son Manuel Mesonero y Juan Alvarez,á teñir por principios tod…</t>
  </si>
  <si>
    <t>Mesa, María de</t>
  </si>
  <si>
    <t>María de Mesa</t>
  </si>
  <si>
    <t>…las leyes. i * Habiendo fallecido D. Domingo Cañal en la ciudad de Veracruz: el dia 27 de Febrero de 1792 , resultó por su testamento haber sido casado en la ciudad de Cá diz con Doña María de Mesa, dejando por herederos á sus hijos D. Manuel, Doña Antonia y Doña Rita Cañal; y respecto á que estos interesados no han solicitado el cobro de 261 pesos 5I rs., que en el año de 1796 vinieron en el navio de guerra Santiago la América, pertenecientes á esta te…</t>
  </si>
  <si>
    <t>Metternich, Príncipe de</t>
  </si>
  <si>
    <t>Príncipe de Metternich</t>
  </si>
  <si>
    <t>…votos por la su presión. Pasan por aqui muchas familias de la Suiza y de las dos orillas del Rhin que abandonan su, patria para pasar á la América. ITALIA. Ve necia 9 de Marzo. El ministro Príncipe de Metternich ha tenido ya varias conferencias con varios sabios publicistas y algunos individuos del antiguo imperio germánico para discutir los objetos de que puede ser tribunal competente la Dieta de Francfort. Se cree que en estando discutidos y resueltos estos puntos…</t>
  </si>
  <si>
    <t>…s hizo consejo de guerra, por sentencia del cual uno fue arcabuceado inmediata mente, y el otro, que era menos delincuente, fue perdonado en el lugar del suplicio. Ha venido ya el ministro Príncipe de Metternich muy mejorado de las aguas de Italia. GRAN BRETAÑA. Londres 22 de Setiembre. El número de acusados que deben ser juzgados en el tribunal de OldBayley asciende en el dia á 388 entre hombres y mugeres, sin contar los que diariamente se recogen por la policía. En…</t>
  </si>
  <si>
    <t>Meunier</t>
  </si>
  <si>
    <t>…unos problemas: 4.0 examen de la obra titulada Evoluciones por brigadas, ó ins trucción para ampliar las maniobras de linca indicadas en los reglamentos: escrita en francés por el general Meunier, y publicada en 1814. Se vende á 7 rs. en la librería de Martínez, frente á las gradas de S. Felipe el Real, y en Barcelona en la de Brusi. Un cuaderno de 12 cabezas sacadas de las obras de Rafael de LTrbino, muy úti les para los que estudian el dibujo: graba…</t>
  </si>
  <si>
    <t>Mi</t>
  </si>
  <si>
    <t>…ción é integridad de las Américas, se ha dignado S.M. concederle la gran cruz de la Real orden de Isabel la Católica. El Rey nuestro Señor se ha servido conceder su Real permiso á D. Mi guel Juan de Barcaiztegui y Urbina, cónsul que fie de S. M. en Tolon, pa ra poder llevar la cruz de la flor de Lis con que S. M. Cristianísima le ha condecorado en premio de su lealtad á la augusta familia de los Borbones. El sábado 8 del corriente, á las cua…</t>
  </si>
  <si>
    <t>Mi, Ramón</t>
  </si>
  <si>
    <t>Ramón Mi</t>
  </si>
  <si>
    <t>…l supremo Consejo de Guerra, Se cita á los acreedores é interesados al caudal que existe depositado, proceden te de la venta de la escribanía del número de esta villa, que egerció D. Ramón Mi lla Cuellar, para que concurran á una junta que ha de celebrarse en ¡a posada del Sr. D. Joaquín Almazan, del Consejo de S. M., teniente corregidor de esta villa, en el dia 24 de este mes á las nueve. Se cita á los acreedores é interesados á la testamentaría…</t>
  </si>
  <si>
    <t>Mieg, Juan</t>
  </si>
  <si>
    <t>Juan Mieg</t>
  </si>
  <si>
    <t>…de la provincia de Toledo. Instrucción sobre el arte de conservar los objetos de historia natural, precedida de algunas reflexiones sobre el estudio de las ciencias naturales: por D. Juan Mieg, director y catedrático del Real estudio físico-químico: un tomito en 8.° con una lámina. Se vende á 6 rs. en la librería Extrangera, calle de la Montera, y en la de Gómez, calle de las Carretas. Hacer conocer en pocas palabras la importancia y la dignidad dé…</t>
  </si>
  <si>
    <t>Mifsud, Salvador</t>
  </si>
  <si>
    <t>Salvador Mifsud</t>
  </si>
  <si>
    <t>…eres. Los jovenes que sobresalieron en todos Tos ramos fueron D. Demetrio Vasconi, D. Francisco Rodríguez Sánchez, D. Mariano Guerrero, D. Josef Vega Serien, D. Francisco Cívico , D. Salvador Mifsud, D. Manuel Gimé nez y D. Diego Meras. Madrid 21 de Febrero» El dia 19 del. pasado tuvo la honra de besar la Real mano de S. M. una diputación de la suprema asamblea de la Real&gt; y distinguida orden de Car los 111; en cuyo nombre dijo : „Señor: La suprema asamb…</t>
  </si>
  <si>
    <t>Miguel</t>
  </si>
  <si>
    <t>…fersburgo j / de Enero. El embajador de Francia dio un baile el 28 de este mes, á que asistieron SS. MM. :el Emperador, la Emperatriz Isabel, la Emperatriz María, S. A. I. el gran duque Miguel, S. A. R. la duquesa de Wurtemberg y la Princesa su hija. S. M. el Emperador y S. A. I. el gran duque Miguel llevaban la insignia de la orden francesa del Espíritu Santo , y varios ayudantes de campo, gene rales y oficiales que acompañaban á S. M., la cruz de…</t>
  </si>
  <si>
    <t>…tersburgo de Febrero. El feld* mariscal príncipe Barclay de Tolli, que ha llegado estos dias, re cibe aquí las mayores distinciones, y la corte le costea todos los gastos. El gran duque Miguel y todos los generales han ido á visitarle. El día 8 hubo en ob sequio suyo una gran parada de todas las tropas de la guarnición y de estas inmediaciones^ en que se reunieron 36 batallones y 32 escuadrones. La nueva reforma ó licénciamiento de parte de nuestro…</t>
  </si>
  <si>
    <t>…fueron batidos to dos los dias, y arrollados hasta que el 27 de Enero, reunidos en número de 2500 caballos, y mandados por Paez y Donato Perez esperaron la vanguardia al mando del brigadier D. Miguel de la Torre, con quien se batieron en la Sábana de Macubitas con el encarnizamiento que explica el dicho brigadier; pero el enemigo no fue enteramente destruido por falta de caballería, colo cándose la Torre en el paso del Trio, á la derecha del Apure , á fin…</t>
  </si>
  <si>
    <t>…rde á V. E. muchos años. Cuartel general de Maracay i.° de Abril de 1817. =Excmo. Sr. = Pablo Morillo. =¡Excmo. se ñor secretario de Estado y del despacho de la Guerra. "Parte del brigadier D. Miguel de la Torre} que se cita en el anterior. Excmo. Sr.: Ayer emprendí mi marcha con esta división desde el Hato del Frió á Banco largo ; pero á las 10 de la mañana descubrí al enemigo en fuerza de mas de 2500 hombres á caballo en la Sábana de Macuritas: al mo1</t>
  </si>
  <si>
    <t>…ster en dicha ciudad; y como se ignore el paradero de este, á instancia del D. Pablo ha mandado dicho señor teniente corregidor se le cite y emplace por medio de este periódico al D. Miguel, para que en el término de 30 dias, contados desde la pu blicación, comparezca en el citado juzgado por sí ó por medio de procurador de él á contestar lo que corresponda en dicha instancia; en inteligencia que de no ha cerlo, sin mas citación, se sustanciará…</t>
  </si>
  <si>
    <t>…Witepsk , Srnolensko, Mohilew, Kiew, Pultova, Orel y Tula. S. M. llegará el 30 de Setiembre á Moscow. Una parte de los regimientos de la guardia se ha puesto ya en marcha. El gran duque Miguel salió dos dias antes que el Emperador á viajar en lo interior del imperio. Este príncipe irá á Crimea, y desde allí volverá por Odessa á Moscow , adonde debe llegar el 25 de Octubre. El mayor Schwetzow ha recobrado su libertad. Este distinguido oficial fue he…</t>
  </si>
  <si>
    <t>…y así para satisfacción del público solo se extractará lo mas esencial de dichos sucesos de orden de S. M. Comienza con la remisión de los diferentes partes que había recibido del brigadier D. Miguel de la Torre, comandante general de las tropas del Re y</t>
  </si>
  <si>
    <t>…tió el 13 de Mohilew con dirección á Bobruisk. El día anterior pasó S. M. revista á las tropas, y por la noche asistí© al baile que le tenia preparado la nobleza. S; A. I. el gran duque Miguel llegó el 7 á Casan, y el 9 salió para Simbirsk. Idem 8 de Octubre. Se han recibido noticias del general Yemaloff, que pasó á Persia en cali dad de embajador de Rusia. Parece que ha sido tratado con la mayor distin ción por aquel Monarca, quien había mandado p…</t>
  </si>
  <si>
    <t>Miguel, Pedro</t>
  </si>
  <si>
    <t>Pedro Miguel</t>
  </si>
  <si>
    <t>…Bernar do Cadenas, D. Agustín Bermejo, D. Tomas Perez, D. Blas Cadenas, Don Juan García, D. Manuel Ribera, D. Máximo y D. Joaquín Vargas, Don Felipe Crespo, D. Francisco Canillas, D. Pedro Miguel, D. Genaro Sal gado, D. Cándido de la Fuente , D. Josef García Vázquez , D. Aquilino Lu nar, D. Pedro Gómez, D. Celedonio Casado, D. Vicente Berdion , Don Joa quín Lumeras, D. Tomas Asensio, D. Mateo Rodriguez, D. Valentín Ga veta, D. Pedro Martin, D. Antonio…</t>
  </si>
  <si>
    <t>Milton</t>
  </si>
  <si>
    <t>…o, los cuales publican la llegada de Mr. Cobbett á Nueva-Yorck, y la de Mr. de Caulincourt á la Nueva Orleans. En la sesion de S del corriente presentó en la cámara de los Comunes lord Milton una representadon de los habitantes de Sheffield, pidiendo á la Cámara que examine el proyecto de deshollinar las chirneneas por Inedio d~ 1.1na máquina para aliviar á los infelices muchachos condenados á este egerckio. La Cámara ha mandudo pasar este asunto…</t>
  </si>
  <si>
    <t>Miranda, Antonio González</t>
  </si>
  <si>
    <t>Antonio González Miranda</t>
  </si>
  <si>
    <t>…Josef María Anchuelo y Guzman. Capellán D, León Ramón del Valle. Para el de Oviedo en Salamanca. Rector D. Manuel Luciano Alemán. Consiliario i.° D. Manuel Barrio Ayuso. Idem 2.0 D. Antonio González Miranda. Idem 3.0 D. Diego Suarez. Capellán D. Domingo Ruirnonte. En puntual egecucion de estas soberanas resoluciones ha tomado la junta las providencias oportunas para que cuanto antes se realice la apertura de los citados cinco colegios mayores; y se anuncia al pú…</t>
  </si>
  <si>
    <t>Miranda, Ignacio</t>
  </si>
  <si>
    <t>Ignacio Miranda</t>
  </si>
  <si>
    <t>…que dia riamente bajaba de los cerros,, donde duerme, entre ocho y nueve de la mañana. Dos guerrillas que destaqué al mando la una del capitán de dra gones de frontera de Colorían D. Ignacio Miranda, y la otra al del teniente de dragones D. Josef Antonio Vizcarra, sorprendieron al citado rebelde, que aunque huyó con su gavilla en sus caballos en pelo,, dejaron una carga de municiones, 31 fusiles, 2 pares de pistolas, porción de sillas, lanzas y machetes,…</t>
  </si>
  <si>
    <t>Miranda, Joaquín</t>
  </si>
  <si>
    <t>Joaquín Miranda</t>
  </si>
  <si>
    <t>…tlan Marzo 2 de 1817. = Saturnino Samaniego. = Sr. brigadier D. Ciríaco de Llano.” El Excmo. Sr. virey en premio de la bizarra conducta del subte niente del batallón de Guanajuato D. Joaquín Miranda y del distinguido D. Nicolás Cóndelle , se ha servido conceder al primero el grado de tenien te en su clase,y promover al segundo á sargento; teniendo presenté al ciru jano D. Alfonso Velásco para dispensarle oportunamente las gracias corres pondientes á los…</t>
  </si>
  <si>
    <t>Miranda, Joaquín de</t>
  </si>
  <si>
    <t>Joaquín de Miranda</t>
  </si>
  <si>
    <t>…, Saturnino Samaniego, ^Reconociendo ayer las alturas inmediatas á los fortines de Jonacatlan, una partida de 80 infantes del batallón de Guanajuato ,á las órdenes del subteniente D. Joaquín de Miranda, por la parte de Álcosauca, mientras yo y el te niente coronel D. Félix de la Madrid reconocíamos dicho pueblo, fue atacada aquella por los rebeldes que salieron de sus fortines en número de mas de 200, ataque que rechazó aquel oficial, haciéndolos replegar á…</t>
  </si>
  <si>
    <t>Miranda, Juan González</t>
  </si>
  <si>
    <t>Juan González Miranda</t>
  </si>
  <si>
    <t>…liario i.° D. Josef María Diez Quijada y Oveje ro. Idem 2.0 D. Clemente García Escudero y Urrutia. Idem 3.0 D. Pablo Govantes. D. Marcos Galan , D. Antonio Castellano y Cabrejano, D. Juan González Miranda, D. Antonio Arias de Prada , D. Justo Saenz de S. Pedro, D. Gabriel Ceruelo de Velasco y D. Josef Sacasa. Capellán D. Francisco Carpintero y Eraso. Para el de S. Bartolomé en Salamanca. Rector D. Ramón de Aguilar Fernandez de Córdoba. Consiliario T.° Don Anse…</t>
  </si>
  <si>
    <t>Miret, Agustín</t>
  </si>
  <si>
    <t>Agustín Miret</t>
  </si>
  <si>
    <t>…7231, 228197, 228688, 237609, 237761,242504, 252086 y 341073, que fueron endosados í D. Antonio Cos, del comercio de Sevilla, á quien se dirigieron para su renovación por medio de D. Agustín Miret, y en el día los tiene reclamados D. Juan Josef de Ojangurcn, á quien parece pertenecen, en el juzgado del Sr. D. Joaquín Almazan, teniente corregidor de esta muy heroica villa, y escribanía del número de D. Clau dio Sanz, se presentarán en el mismo juzgado y…</t>
  </si>
  <si>
    <t>Miro, Francisco de Clemente y</t>
  </si>
  <si>
    <t>Francisco de Clemente y Miro</t>
  </si>
  <si>
    <t>…apertura del Real curso de estudios físico-químicos. Tratado de educación: lectura con método: segundo viage de Robinson , ó con* tinuacion del de Campe; traducido del francés por D. Francisco de Clemente y Miro: edición hecha en 1804 cn tres tomos en 8.° con una estampa en cada uno. Se hallará en el despacho de la imprenta Real á 21 rs. en rústica y 32 cn pasta. También se vende en papel en el almacén de la misma. EN LA IMPRENTA REAL.</t>
  </si>
  <si>
    <t>Mo, Cárlos Rodríguez de</t>
  </si>
  <si>
    <t>Cárlos Rodríguez de Mo</t>
  </si>
  <si>
    <t>…ue se admitirán las que se hagan siendo justas. En virtud de providencia del Sr. D. Josef García de la Torre , del Consejo de S. M., alcalde en su Real casa y corte, refrendada de D. Cárlos Rodríguez de Mo ya, escribano de provincia, se cita, llama y emplaza á todos los que se crean ser acreedores á los bienes que han quedado por fallecimiento de D. Josef Alejo de la Torre, vecino que fue de esta villa, y procurador de los Reales Consejos , para que en el térmi…</t>
  </si>
  <si>
    <t>Mo, Juan</t>
  </si>
  <si>
    <t>Juan Mo</t>
  </si>
  <si>
    <t>…rzamendi, Ídem D. Josef María Carmona, el ciru jano D. Miguel Añon, el cadete D. Francisco Rodríguez, idem D. Juan La gos, idem D. Lope Urriza, del regimiento fijo. El subteniente D. Juan Mo rilla, de la partida de España. El alférez D. Josef Mariano Campo, el ca dete D. Bernardo Franco, idem D. Josef Zacarías Puente, de lanceros. El alférez D. Joaquin Nuñez, de húsares. El alférez D. Antonio Romero, el agregado D. Julián Montero, de realistas de…</t>
  </si>
  <si>
    <t>Mochetti</t>
  </si>
  <si>
    <t>…urcmberg $ de Mayo. En una relación de los viages de S. A. R. la Princesa de Giles se hallan los pormenores siguientes: „Su corte se compone de la condesa de Oldi, de Cremona; del doctor Mochetti; del caballero Schiavini, caballerizo mayor; de los caballeros Tomassia y Pergami; de Mr. Haunaum, ingles, secretario particular, de varios criados y criadas de todas clases &amp;c. „La Princesa compro á la condesa de Pino la casa de campo cerca del lago de Como,…</t>
  </si>
  <si>
    <t>Moerner, Carlos</t>
  </si>
  <si>
    <t>Carlos Moerner</t>
  </si>
  <si>
    <t>…de la legislación, establecimientos, usos y costumbres de. ellos; y se cree que empezará sus viages por I igiaterra. Durante su ausencia seguirá gobernando el reino de Noruega el conde Carlos Moerner en nombre del virey. Francfort 18 de Octubre. En uno de los periódicos de esta ciudad se ha publicado el artículo si-, guíente: „Hace tiempo que dan algún cuidado los preparativos militares del baja Mohamet-Ali, virey de Egipto, como también sus activas dilig…</t>
  </si>
  <si>
    <t>Mojica, Juan Poutous y</t>
  </si>
  <si>
    <t>Juan Poutous y Mojica</t>
  </si>
  <si>
    <t>…exenio en el Quintanar, y este en Los Santos. El Rey nuestro Señor se sirvió nombrar para segundo cabo comandante general de la provincia de Castilla la Vieja al mariscal de campo D. Juan Poutous y Mojica: para gobernador militar y político de Zamora ai de la misma clase D. Josef S. Juan: para ayudante de la ciudadela de Valencia al teniente D. Antonio Chover, alférez de caballería, agregado al estado ma yor de la plaza de S. Felipe de Járiva ; y para capitán…</t>
  </si>
  <si>
    <t>Molan, Josef</t>
  </si>
  <si>
    <t>Josef Molan</t>
  </si>
  <si>
    <t>…rto, como á cinco leguas distante de él, observaron una vela des de el tope; dispuso al momento el comandante la cazase el corsario rendido, que había puesto á cargo de su segundo D. Josef Molan, teniendo el com pleto resultado de que antes de arribar á este puerto lo vio marinar, entran do también después que él, y era la goleta con ganado apresada por el pira ta ; de modo que en poco mas de 24 horas fue habilitada la Santa Isabel, apresado el pirat…</t>
  </si>
  <si>
    <t>Molé</t>
  </si>
  <si>
    <t>…. Habiendo hecho dimisión del ministerio de Guerra el duque de Feltre, ha nombrado el Rey en su lugar al mariscal Gouvion*St. Cir. También ha nom brado S. M. ministro de Marina al conde Molé , par de Francia. El tribunal prevostal de León está entendiendo hace ocho dias en la cau sa formada contra los 22 insurgentes de los pueblos deSavigny , St. Germán, Buily y St. Bel. El 7 de este mes por la tarde se juntaron varios amigos en una hostería de B…</t>
  </si>
  <si>
    <t>Molina, JoaquiiLde</t>
  </si>
  <si>
    <t>JoaquiiLde Molina</t>
  </si>
  <si>
    <t>…ustín de Torohermoso; á los mariscales de campo D. Pedro Ruiz de Torras, D. Tomas O-Donojú, D. Alvaro Chacón y D. Manuel Ladrón de Guevara, y al gefe de escuadra de la Real armada D. JoaquiiLde Molina, en atención á sus constantes ser vicios y mérito. El R ey nuestro Señor, á consulta del supremo Consejo de Hacienda y Junta general de Comercio y Moneda, se ha dignado conceder á D. Josef de Landera , vecino y fabricante de curtidos de la ciudad de Oviedo',…</t>
  </si>
  <si>
    <t>Molina, Juan de Campos y</t>
  </si>
  <si>
    <t>Juan de Campos y Molina</t>
  </si>
  <si>
    <t>…o de casaca y pantalón de paño, camisa, medias , zapatos y gorra de badana, que recibieron llenos de gozo, y con las mas humildes demostraciones de gratitud de mano del corregidor D. Juan de Campos y Molina: por último, llenos de satisfacción todos los concurrentes prodigaron sus elogios al digno profesor, y se retiraron satisfechos de haber celebrado los dias de su Sobe rano con un acto de tanta caridad é ilustración pública. Madrid 12 de Diciembre. ARTICULO DE…</t>
  </si>
  <si>
    <t>Molins, Joaquín María de Aquiió y</t>
  </si>
  <si>
    <t>Joaquín María de Aquiió y Molins</t>
  </si>
  <si>
    <t>…rro, capitán del regimiento de infantería de Ordenes Militares, caballero de la Real y militar orden de S. Hermenegildo, condecorado por S. M. Cristianí sima con la flor de Lis, y D. Joaquín María de Aquiió y Molins, teniente del regimiento caballería de Calatrava, quienes á nombre de la villa de Montblanch, cabeza de su partido en el principado de Cataluña , felicitaron á S M. por su efectuado augusto enlace con la Reina nuestra Señora. S. M. recibid á los comisionados…</t>
  </si>
  <si>
    <t>Molla, Mariano</t>
  </si>
  <si>
    <t>Mariano Molla</t>
  </si>
  <si>
    <t>…o parte por es tos al ayuntamiento de los progresos y felices adelantamientos que advertían en los niños que asisten á la escuela de primeras letras, puesta al cuidado del maestro D. Mariano Molla , acordaron que en el dia 27 del anterior mes de Diciembre se celebrasen exámenes públicos en las clases de lectura, escritu ra, aritmética, gramática y ortografía: asi se verifico en la sala capitular con asistencia del ayuntamiento, los cuerpos eclesiástico…</t>
  </si>
  <si>
    <t>Mondelly, Silvestre</t>
  </si>
  <si>
    <t>Silvestre Mondelly</t>
  </si>
  <si>
    <t>…n, al teniente coronel D. Esteban Ulzurrun, capitán del regimiento de ca ballería de Santiago: la sargentía mayor de la plaza de S. Fernando de Figueras , en Cataluña, al teniente coronel D. Silvestre Mondelly, capitán del regimiento de infantería de España: la de la puebla de Sanabrfa, en Castilla la Vieja , á D. Josef Vaguer, teniente agregado al estado mayor de la plaza, de Madrid: la de Ibiza al capitán D. Joaquin 'Martínez y Fernandez,, temente del regimiento…</t>
  </si>
  <si>
    <t>Monduy, Ramón</t>
  </si>
  <si>
    <t>Ramón Monduy</t>
  </si>
  <si>
    <t>…Excmo. Sr. virey ha visto con satisfacción la conducta que ha obser vado el comandante, oficialidad, tropa y vecindario de Apan; y ha manda do al comandante general del territorio coronel D. Ramón Monduy que les dé las debidas gracias en nombre del Rey nuestro Señor, y Ies haga entender que si alguno de dichos individuos se considerase en el caso de as pirar á los premios que señala el reglamento de la orden militar de S. Fer nando , pueden dirigir sus solici…</t>
  </si>
  <si>
    <t>Moner, Josef Antonio Rabert Santa Susana y</t>
  </si>
  <si>
    <t>Josef Antonio Rabert Santa Susana y Moner</t>
  </si>
  <si>
    <t>…, en los autos que penden ante el mismo supremo tribunal en grado de segunda supli cación con D. Francisco Castelis y Posas, vecino de la villa de Esparraguera, en Cataluña, y con D. Josef Antonio Rabert Santa Susana y Moner sobre adjudicación y pertenencia de la universal herencia y bienes que fueron de D. Pablo Bas, Don Félix y Dona Magdalena Bas y Balaguer, y los de D. Francisco y D. Ignacio Bas, se cita de nuevo, llama y emplaza por retardado ai referido D. Josef Antonio Ra b…</t>
  </si>
  <si>
    <t>Monge, Luis García</t>
  </si>
  <si>
    <t>Luis García Monge</t>
  </si>
  <si>
    <t>…montañas de Santander, Don Cristóbal Rodríguez deHinojbsa, de Lebrija, y D. Antonio Rodríguez Ferrer, de Moron : en sintaxis, prosodia y arte métrica D. Benito de Salas y Vida! y D. Luis García Monge, ambos de Lebrija: en rudimentos D. Juan Fayula, D. Pedro Garfia, D. Pablo Pavón, D. Juan de Quintaniila, D. Francisco Xavier Morales, D. Rafael Muñoz, todos de Lebrija, y D. Francisco de Paula González y Peña, de Sanlucar de Barrameda : en gramática castella…</t>
  </si>
  <si>
    <t>Moñino, Antonio Robles y</t>
  </si>
  <si>
    <t>Antonio Robles y Moñino</t>
  </si>
  <si>
    <t>…a orden espa ñola de Cirios ni, secretario de S. M. con egercicio,y ministro del supremo Consejo de Hacienda; D. Francisco Barradas, mariscal de catnpo de los Rea les egércitos, y D. Antonio Robles y Moñino, caballero pensionista de di cha Real orden , y secretario honorario de S. M., lo veriíicaron el 16 del mes de Enero último, en cuyo acto dijo el primero entre otras cosas: ,,Señor: Tributadas por la M. N. y M. L. ciudad de Lorca las debidas gracias al Omnipo…</t>
  </si>
  <si>
    <t>Monquez, Carlos</t>
  </si>
  <si>
    <t>Carlos Monquez</t>
  </si>
  <si>
    <t>…a la dehesa nominada de la Plata, á pasto solo; contiene bastante arbolado de encina; su cabida es de 5300 ovejas y de pri mera calidad^Quien quisiere arrendarla puede dirigirse á D. Carlos Monquez, ve cino y del comercio de Badajoz, que está autorizado para tratar de su ajuste. EN LA IMPRENTA REAL.</t>
  </si>
  <si>
    <t>Monroy</t>
  </si>
  <si>
    <t>…arnación Ortiz, el Pachón; dicho teniente coronel trae el convoy deS.Luis, quien deberá llegar á esa dentro de tres ó cuatro dias. ,,Recomiendo á V. S. muy particularmente á dicho sargento Monroy por su actividad en el servicio, el grande empeño con que se encarga de cuales quier comisión, y la prudencia y valor con que se maneja. ,,Dios guarde á V. S. muchos años. Casasviejas Diciembre 12 de 1816,= Juan Francisco de Luengas. = Sr. brigadier D. Ignaci…</t>
  </si>
  <si>
    <t>Monserrat, Bernardo</t>
  </si>
  <si>
    <t>Bernardo Monserrat</t>
  </si>
  <si>
    <t>…e, ayudante del regimiento de infantería de la Corona: la ayudantía de Ja plaza de Cardona á D. Ramón Gravoleda, teniente del de Bailen: la del castillo de Monjuich de Barcelona á D. Bernardo Monserrat, subteniente del mismo cuerpo: la segunda de la plaza de Gerona al teniente D. Pedro de la Muda, subteniente del regimiento de infantería de Africa: la primera de la de Rosas á D. Francisco Dicroh, alférez de dragones de la Reina : la segun da de la misma pla…</t>
  </si>
  <si>
    <t>Monsonis, Josef</t>
  </si>
  <si>
    <t>Josef Monsonis</t>
  </si>
  <si>
    <t>…endo arreglada. Teniendo que comunicar noticias interesantes, y aun entregar algunos marave dises por fallecimiento de Ambrosio Mayoral, vecino que fue de Casarubíos dci‘ Monte, á D. Josef Monsonis, ó á su hija Doña Leocadia, ó á quienes les represen ten; y no sabiendo de su existencia y paradero, se da este aviso á fin de qua en el; término de un año, que por último se les señala, comparezcan por sí ó por medio de apoderado ante Casimiro Gómez y Ramón…</t>
  </si>
  <si>
    <t>Montalvo, Diego de</t>
  </si>
  <si>
    <t>Diego de Montalvo</t>
  </si>
  <si>
    <t>…a; y la de la de Seu de Urgel á D. Pedro Teruel, sargento segundo del mismo Real cuerpo. En Aiv/erica. El Gobierno del castillo de Atores, dependiente de la pla za de la Havana, á D. Diego de Montalvo, teniente coronel retirado en la misma: la ayudantía del castillo del Morro en la propia isla á D. Vicente Sierra, teniente del regimiento de infantería de Navarra; y la del de S. Car los de la Cabaña á D. Josef Manuel González, que servia igual empiecen ei d…</t>
  </si>
  <si>
    <t>Montalvo, Francisco de</t>
  </si>
  <si>
    <t>Francisco de Montalvo</t>
  </si>
  <si>
    <t>…na de Indias el 7 de Febrero de 1816 por las tropas Reales á las órdenes de los tenientes genera les D. Pablo Morillo, general en gefe del egército expedicionario en Costafirme, y D. Francisco de Montalvo , virey del Nuevo reino de Granada , fue ron arrestados en ella varios individuos de los que principalmente influyeron en la substracción de dicha ciudad y su provincia de la obediencia al Go bierno legítimo, en la continuación de la rebelión , y en la resist…</t>
  </si>
  <si>
    <t>Montalvo, Manuel</t>
  </si>
  <si>
    <t>Manuel Montalvo</t>
  </si>
  <si>
    <t>…itar á S. M. por el feliz alumbramiento de la Reina nuestra Señora los sugetos abajo expresados en los términos siguientes: „Señor: D. Josef María Puente, alcalde de casa y corte, D. Manuel Montalvo yTabares, coronel def regimiento de Valencey, y el coronel Don Patricio Domínguez, teniente coronel del mismo regimiento, apoderados de •la muy noble villa de Medellin, provincia de Extremadura, á L. R. P. de V. M. tienen el honor de exponer sus leales sentim…</t>
  </si>
  <si>
    <t>Monteagut, María Magdalena</t>
  </si>
  <si>
    <t>María Magdalena Monteagut</t>
  </si>
  <si>
    <t>…Raya; y está señalado para su remate el dia 21 del cor riente en la audiencia de dicho señor i las 12. Se desea saber el paradero de Doña Mariana Sánchez, hija de D. Antonio y de Doña María Magdalena Monteagut, difuntos, que se ausentó de Barcelona el año de 1809 ; en el de 1812 y j 3 se hallaba en Madrid, y á mediados del de 1814 en Tarragona. Se suplica á quien sepa de su existencia tenga la bondad de avisarlo ai P. Rafael Estremera, clérigo menor en su casa de S…</t>
  </si>
  <si>
    <t>Montealegre, Josef Arenas</t>
  </si>
  <si>
    <t>Josef Arenas Montealegre</t>
  </si>
  <si>
    <t>…al que tenga el número que salga premiado con los 10® duros en Ja extracción de la Real lotería moder na, que se anunciará con anticipación. Los billetes saldrán bajo la firma de D. Josef Arenas Montealegre, habilitado al efecto como tal escribano de go bierno de dicho Real sitio, por el gobernador del mismo, con cuya inter vención debe distribuirse el producto de dicha rifa, según lo resuelto por S. M.; y su despacho será en esta corte en las librerías de Villa…</t>
  </si>
  <si>
    <t>Montenegro, Isidoro</t>
  </si>
  <si>
    <t>Isidoro Montenegro</t>
  </si>
  <si>
    <t>…los títulos, los ministros de los consejos, los generales y gefes militares, y otras varias personas, á quier nes se dignó admitir S* A. R. con aquella bondad que la caracteriza* D. Isidoro Montenegro,, caballero pensionado de la Real y distinguida orden de Carlos m, gentilhombre de cámara de S. M. &amp;c.; D. Pedro Gu tiérrez, coronel de los Reales egércitos, caballero de la orden de Santiago, secretario de S. M. con egercicio de decretos &amp;c., y D. Manuel Ale…</t>
  </si>
  <si>
    <t>…ente esta reverente expresión de leal tad y respeto de aquella capital, cuyos votos siempre tendrán por objeto el mayor servicio de V. M. y el colmo de sus felicidades.” Los Sres. D. Isidoro Montenegro, caballero pensionado de la Real y dis tinguida orden de Carlos m, gentilhombre de cámara de S. M.; D. Pedro Gutiérrez, coronel de los Reales egércitos, caballero de la orden de Santia go , secretario de S, M. con egercicio de decretos , y D. Manuel Alejo Gó…</t>
  </si>
  <si>
    <t>Montenegro, Ramón Pardo</t>
  </si>
  <si>
    <t>Ramón Pardo Montenegro</t>
  </si>
  <si>
    <t>…n el honor de ser admitidos á besar la Real mano de S. M. y de cumplimentarle por el feliz alumbramiento de la Reina nuestra Señora, en nombre de la ciudad de Mondoñedo, los Sres. D. Ramón Pardo Montenegro, coronel de milicias, caballero de la Real y distinguida orden de Carlos m , y regidor perpetuo de la misma, y D. Andrés García, ministro honorario del Consejo supremo de la Cámara de Castilla, y arce diano de Vivero; con cuyo motivo dijo el primero lo que si…</t>
  </si>
  <si>
    <t>Montero, Juan Nepomuceno</t>
  </si>
  <si>
    <t>Juan Nepomuceno Montero</t>
  </si>
  <si>
    <t>…os son el comandante de Burgos, eefe de estado mayor de la división expedicionaria, D. Agustín Otermin, el adicto á dicha división D. León Iturbe , el capitán graduado de teniente coronel Don Juan Nepomuceno Montero, los tenientes D. Bernardo Vara y D. Antonio Rebollo, y el subteniente D: Tomas Brigidos, todos del regimiento de la Union , el subteniente de Barbastro D. Agustín Isumarri, el teniente de Na varra D. Antonio Villa, y el de la misma clase graduado del regimie…</t>
  </si>
  <si>
    <t>Montero, Juan Neporrmceno</t>
  </si>
  <si>
    <t>Juan Neporrmceno Montero</t>
  </si>
  <si>
    <t>…adas las que recibió en el asalto de Barcelona, y lo hirieron á lanzadas gravemente: el teniente coronel gefe del estado mayor de la división expedicionaria D. Agustín Otermin; el capitán D. Juan Neporrmceno Montero y el teniente D. Bernardo Vara, del regimiento de la Union: el teniente de Navarra D. Antonio Villa, y el de Burgos D. Juan de la Cruz Osores, que fueron heridos: Vara y Villa á pesar de sus heridas con tinuaron en la acción; y al teniente de cazadores de Bur…</t>
  </si>
  <si>
    <t>Montero, Julián</t>
  </si>
  <si>
    <t>Julián Montero</t>
  </si>
  <si>
    <t>…Josef Mariano Campo, el ca dete D. Bernardo Franco, idem D. Josef Zacarías Puente, de lanceros. El alférez D. Joaquin Nuñez, de húsares. El alférez D. Antonio Romero, el agregado D. Julián Montero, de realistas del Puente. Campo de Boquilla de Piedra 28 deNoviembre de 1816. = Josef Rincón. DIVISION EXPEDICIONARIA DE VERACRUZ. Relación que manifiesta los individuos que en la acción del 24 del cor riente se hicieron prisioneros d los enemigos por esta di…</t>
  </si>
  <si>
    <t>Montero, Venancio</t>
  </si>
  <si>
    <t>Venancio Montero</t>
  </si>
  <si>
    <t>…los de la clase de retórica. Abrióse el acto por una anacreóntica , con la cual D. Rodrigo López, uno de los discípulos, pidió la atención del público; y en seguida^otro de ellos, D. Venancio Montero, pronunció un discurso latino sobre la gloria justa mente adquirida por los españoles en la última guerra contra la Francia, en el cual brillaban á la par la pureza del lenguage y la energía de la dicción, que. recibieron en. aquella ocasión mayor realce por…</t>
  </si>
  <si>
    <t>Montes, Toribio</t>
  </si>
  <si>
    <t>Toribio Montes</t>
  </si>
  <si>
    <t>…clel: condesa de Torrejon, y baronesa viada de Carondelet. ORDEN AMERICANA DE ISABEL LA CATOLICA* Grandes Cruces Al M. R arzobispo de Santa Fe de Bogotá; á los tenientes generales D. Toribio Montes y D. Juan Henestrosa; al mariscal de campo D. Fer nando Miyares, y al ministro del Consejo supremo de Indias D. Josef Aicinena, Comendadores Al mariscal de campo D. Josef María Jalón; á los brigadieres marques de Sta. Cruz de Rivadulla; D. Pedro de la Cuesta; D. Ciríaco de Llano;…</t>
  </si>
  <si>
    <t>Montesino, Pablo</t>
  </si>
  <si>
    <t>Pablo Montesino</t>
  </si>
  <si>
    <t>…tos, y de la fábrica de las espadas de la ciudad de Toledo , para Solan de Cabras: Don Carlos Martin del Romeral, establecido en esta corte, para Puertollano: en Castilla la Vieja D. Pablo Montesino para Ledesma: D. Juan Francisco Amatriain para Arnedillo: en Aragón D. Manuel Arranz , médico de la villa de Aranda de Duero,para Quinto: D. Ramón Marsonell, médico de Ateca, partido de Calatayud, para Alama: D. Antonio Turvica, médico de Iruecha , paraTierma…</t>
  </si>
  <si>
    <t>Monteverde, Domingo de</t>
  </si>
  <si>
    <t>Domingo de Monteverde</t>
  </si>
  <si>
    <t>…de lasAméricas el ministro del Consejo y Cámara de Indias Don Josef Pablo Valiente, el teniente general de los Reales egércitos conde del Abisbal y el brigadier de la Real armada D. Domingo de Monteverde, se ha dignado el Rey nuestro Señor agraciarles con la gran cruz de la Reai orden Americana de Isabel la Católica.. En la Real capilla de palacio se halla vacante una plaza supernumeraria de trompa dotada en 5500 rs. vn. al año cobrados mensualmente, y ha de…</t>
  </si>
  <si>
    <t>Montoya, García de</t>
  </si>
  <si>
    <t>García de Montoya</t>
  </si>
  <si>
    <t>…ntonio de Angulo, á 2 rs__ Oración fú nebre que en las exequias celebradas por ia academia en la muerte de su director D. Andrés Fernandez Pacheco, marques de Villena, dijo el Dr. D. García de Montoya; y elogio del mismo señor director, leído por el Dr. D. Ignacio Cevallos Viilagutierre , á 2 rs._Oración fúnebre que en las exequias del Excmo Sr. duque de Alba dijo el Dr. D. Josef Vela, í 2 rs. —Relación de las exequias que celebró la academia por el alma d…</t>
  </si>
  <si>
    <t>Monzon, Francisco Zacagnini y</t>
  </si>
  <si>
    <t>Francisco Zacagnini y Monzon</t>
  </si>
  <si>
    <t>…s cadetes del colegio militar de Segovia D. Isidro Baeza y Santillana, D. Pedro Lujan y Romero, D. Francisco Lujan y Romero, D. Cayetano Urbina y Daoiz, D. Josef Fuentes y Elias , D. Francisco Zacagnini y Monzon, D. Pablo Tous y Fíol, D. Miguel Jorganes y Mario, D. Antonio Venene y Andrade, D. Julián Gata y Malpica, D. Mariano Canals y May oís, D. Juan Molins y Cabañiés, D. Juan de Dios Valera y Viaña, D. Josef Zizur y Azanza, D. Tomas Mones y Puertas, D. Miguel Zizu…</t>
  </si>
  <si>
    <t>Mora, Guadalupe</t>
  </si>
  <si>
    <t>Guadalupe Mora</t>
  </si>
  <si>
    <t>…ado y por el de Tarandacuao, conforme á las órdenes de V. el 31 del mismo. „ En la marcha dividí algunas partidas, y una de ellas aprehendió en el puente de las Ovejas al titulado capitán Guadalupe Mora y á Bernardo Le-</t>
  </si>
  <si>
    <t>Moral, Miguel</t>
  </si>
  <si>
    <t>Miguel Moral</t>
  </si>
  <si>
    <t>…, que presentó á examen sucesivamente á los discípulos colegial beca D. Sebastian Juárez, D. Jacinto de Bartolomé, natural de este sitio; á Don Pedro Izquierdo, D. Eugenio Maroto, D. Miguel Moral y D. Tomas de la Fuente, quienes respondieron con desembarazo á las preguntas que les hizo so bre el sistema de la numeración, naturaleza del número, reglas fundamen tales de la aritmética y álgebra, de todo género de números enteros, mixtos, denominados y decimales, de…</t>
  </si>
  <si>
    <t>Moraleda, Valdomero</t>
  </si>
  <si>
    <t>Valdomero Moraleda</t>
  </si>
  <si>
    <t>…nico término de tercero dia comparezca en el juzgado del Sr. D. Manuel Fernandez Gamboa, del Consejo de S. M., alcalde de su Real casa y corte, y por la escribanía de provincia de D. Valdomero Moraleda, á practicar cierta declaración que le está mandado por providencia de dicho señor de 2 i de Agosto próximo pasado; con apercibimiento que de no egecutarlo le parará el per juicio que haya lugar. A instancia de los acreedores censualistas y defensor de la Rea…</t>
  </si>
  <si>
    <t>…tud de providencia de ir del corriente dada por el Sr. D. Manuel Fer nandez Gamboa, del Consejo de S. M., alcalde de su Real casa y corte, y refren dada del escribano de provincia D. Valdomero Moraleda, se cita, llama y emplaza ó todas y cualesquier personas que se crean con derecho á los bienes quedados por el fallecimiento abintestato de Doña Lucía Martinez , acaecido en esta corte en 8 de Abril del año pasado de 1816, y que según noticia parece que era n…</t>
  </si>
  <si>
    <t>…bones. Por providencia del Sr. D. Manuel Fernandez Gamboa, del Consejo de S. M., alcalde de su Real casa y corte, de 22 de Noviembre último, refrendada del escri bano de provincia D. Valdomero Moraleda, ante quien está radicada la testamenta ría de D. Josef Ferreti y Caracciolo, y á la que solo pertenece una casa sita en esta villa, calle del Conde Duque, núm. 3 , manz. 538, de la que es administrador ju dicial D. Manuel de Pando, vecino y del comercio de l…</t>
  </si>
  <si>
    <t>Morales</t>
  </si>
  <si>
    <t>Jas posesiones de Petion: se ofició á este; se trabajó en aprontar una escua drilla en Cartagena y otra en Caracas, y se envió al brigadier Morales des de Ocaña con tropas, que se reunieron en Maracaibo , y después de inau ditas marchas y gloriosos reencuentros se logró destruir al enemigo en Ocu m a re. Detenido en Sta. Fe el general Morillo por las inundaciones de los lla nos, y ocupado en el equipo de…</t>
  </si>
  <si>
    <t>Morales, Antonio Arjona y</t>
  </si>
  <si>
    <t>Antonio Arjona y Morales</t>
  </si>
  <si>
    <t>…MM. y AA. por su efectuado matrimonio , á nombre de la ilustre comunidad del Real convento de S. Benito, de la Orden militar y caballería de Alcántara, su prior el ilustre Sr. Fr. D. Antonio Arjona y Morales, juez eclesiástico or dinario de dicho priorato y arciprestazgos , subdelegado castrense del mismo, y obispados de Plasencia y Coria, del Consejo de S. M., y el Lie. Fr. Don Fernando María Pantoja, capellán de honor de S. M. por la misma orden, y ex-prior del…</t>
  </si>
  <si>
    <t>Morales, Domingo Izquierdo y</t>
  </si>
  <si>
    <t>Domingo Izquierdo y Morales</t>
  </si>
  <si>
    <t>…que reconocerán estas demostraciones, procurando llenar las esperan zas que el Rey, su augusto Hermano, la Real junta y toda la nación ha fundado sobre ellos. Madrid 21 de Marzo. Don Domingo Izquierdo y Morales, ayuda de cámara de S. M., y Don Josef Izquierdo, guardia de la Real Persona de S. M., tuvieron el honor de felicitar á S. M. y A. en nombre de la villa de Marchena el dia 13 de Febre ro en los términos siguientes: ,,Señor: La villa de Marchena, que desde los…</t>
  </si>
  <si>
    <t>Morales, Francisco Xavier</t>
  </si>
  <si>
    <t>Francisco Xavier Morales</t>
  </si>
  <si>
    <t>…prosodia y arte métrica D. Benito de Salas y Vida! y D. Luis García Monge, ambos de Lebrija: en rudimentos D. Juan Fayula, D. Pedro Garfia, D. Pablo Pavón, D. Juan de Quintaniila, D. Francisco Xavier Morales, D. Rafael Muñoz, todos de Lebrija, y D. Francisco de Paula González y Peña, de Sanlucar de Barrameda : en gramática castella na D. Josef Perez de la Torre de las montañas de Santander, y D. Josef Ma ría Moreno, de Xerez de la Frontera ; y por último en ortog…</t>
  </si>
  <si>
    <t>Morales, Lorenzo</t>
  </si>
  <si>
    <t>Lorenzo Morales</t>
  </si>
  <si>
    <t>…hacienda de Espejo, hasta el extremo de dejar las familias ente ramente desnudas. Pero habiendo recibido oportunamente aviso el sargento distinguido de realistas de esta compañía D. Lorenzo Morales, en el momen to dispuso salir á evitar los perjuicios que ocasionaban con el de su clase Mar celo Espinosa, 24 realistas y 6 dragones de mi regimiento; dirigiéndome al mismo tiempo aviso á esa cindad, en donde me hallaba con el objeto de co brar las contribuc…</t>
  </si>
  <si>
    <t>Moran, Josef</t>
  </si>
  <si>
    <t>Josef Moran</t>
  </si>
  <si>
    <t>…rebeldes 2 cañones, 78 fusiles y otros varios efectos. A este gefe y su tropa concedió el Excmo. Sr. virey un escudo con el lema: venció en Ojitlan. El dia 7 de Noviembre batió el coronel D. Josef Moran á todas las gabillas reunidas de Teran, Osorno, Inclan y otros, que componían mas de i® hombres, logrando destruirlos con solo 300 en las lomas de Sta. María, entre Orízava y Puebla, apoderándose de un cañón y un obús con todo el parque, y causándoles gran pé…</t>
  </si>
  <si>
    <t>Morant, Rafael</t>
  </si>
  <si>
    <t>Rafael Morant</t>
  </si>
  <si>
    <t>…mientos de leal tad de aquel cuerpo y noble vecindario que representan. El dia 13 del mismo tuvieron la honra de felicitar á S. M. en nombre del consulado de la ciudad de Alicante D. Rafael Morant, del consejo de S. M., su secretario con egercicio de decretos, y oficial de la secretaría de Estado y del despacho universal de Hacienda de Indias, individuo de la matrícula de dicho consulado en la ciase de hacendado, y D. Nicolás Vasallo, individuo también…</t>
  </si>
  <si>
    <t>Morante, Efren Lardnaz y</t>
  </si>
  <si>
    <t>Efren Lardnaz y Morante</t>
  </si>
  <si>
    <t>…o las Naves de Cortés destruidas, canto en octavas por D. Josef María Vaca de Guzman, á 2§ rs. — Granada rendida, del mismo, romance endecasílabo á rs-----La toma de Grana da, por D. Efren Lardnaz y Morante, á i\ rs. — Batilo, égloga en alabanza de la vida del campó, por D. Juan Menendez Valdés, á rs. — La felicidad de la'vida del campo, égloga por D. Francisco Agustín de Cisneros (D. Tomas de Inarte), á rs.__Sátira contra los vicios introducidos en la poesía ca…</t>
  </si>
  <si>
    <t>Moraza, Juan Agustín de</t>
  </si>
  <si>
    <t>Juan Agustín de Moraza</t>
  </si>
  <si>
    <t>…hospital civil y presos por la justicia ordinaria de la misma. Los pretendientes dirigirán sus memoriales al ayuntamiento déla propia ciudad, por medio de su secretario capitular D. Juan Agustín de Moraza, para el dia 30 de Junio próximo, con relación y justificación de sus méritos, expresando los partidos en que han egercido su facultad; en la inte ligencia que la provisión se verificará el i.° de Agosto, prévios los informes cor respondientes. Descripción es…</t>
  </si>
  <si>
    <t>More, Leornardo</t>
  </si>
  <si>
    <t>Leornardo More</t>
  </si>
  <si>
    <t>…repartieron por mano del corregidor en ayuntamiento pleno, con arreglo á la censura de los examinadores, á los discípulos siguientes: Primera clase: D. Eusebio Tarancon y Alique, D. Leornardo More no.__Segunda clase: D. Víctor Moya, D. Manuel de Torres___ Tercera clase'. D. Josef Vicente Fernandez y Collada, D. Miguel González___ Los examinadores, admirados de los adelantamientos que en el corto tiempo que llevan de enseñanza manifestaron D. Eusebio Ta…</t>
  </si>
  <si>
    <t>Moreau</t>
  </si>
  <si>
    <t>…a compañía rusa americana prepara en Cronstadt una expedición para hacer un vtage al rededor del mundo, la cual se compone de dos buques, á saber: el Aníbal, que trajo á Europa al general Moreau, y el Suzvarow, que llegó hace poco tiempo de las colonias, los que mandará el capitán Heiminster, que ya hizo un viage semejante en 1806 en ti buque llamado,el Neva. La sociedad real y central de París ha determinado adjudicar en su sesión</t>
  </si>
  <si>
    <t>Morejon, Antonio Hernández</t>
  </si>
  <si>
    <t>Antonio Hernández Morejon</t>
  </si>
  <si>
    <t>…corte, bajo la dirección de su primer médico de cámara D. Ignacio de Jáu* regui___ Leerá aquel dia á las 10 de la mañana una oración inaugural el ca tedrático del establecimiento D. Antonio Hernández Morejon , médico de cunara de número, examinador de medicina &amp;c.__ Es te" mismo profesor explicará durante el curso las enfermedades agudas, y ias crónicas serán</t>
  </si>
  <si>
    <t>Morejon, Sebastian Hernández</t>
  </si>
  <si>
    <t>Sebastian Hernández Morejon</t>
  </si>
  <si>
    <t>…cuadernación. Se vende en la librería de Rodríguez, calle de las Carretas. El Triunfo de la razón sobre las funestas ilusiones políticas y religiosas de estos últimos tiempos: por D. Sebastian Hernández Morejon: un tomo en 8.°, que se ha llará en la librería de Perez, calle de las Carretas, á 12 rs. en pasta. Atlas universal, ó colección de mapas nuevos, que comprende los principales imperios, reinos y repúblicas del mundo en general, y de Ja Europa en particular, p…</t>
  </si>
  <si>
    <t>Moreno, Antonio</t>
  </si>
  <si>
    <t>Antonio Moreno</t>
  </si>
  <si>
    <t>…a ventaja grano y paja, que ahorra mas de la mitad del gasto, por lo que se estan ya construyendo aquí tres de ellos, y en breve creo que harán lo mis mo todos los labradores.”----D. Antonio Moreno, vecino también de Alca lá, escribía al mismo con fecha de i.° de Agosto: ,,He recibido el trillo in vernado por D. Andrés Herrarte; y la persona para quien es, visto que una parva de 36 carros de mies, y en la que hubiera empleado seis pares de mu ías y 2 di…</t>
  </si>
  <si>
    <t>Moreno, Josef Segundo</t>
  </si>
  <si>
    <t>Josef Segundo Moreno</t>
  </si>
  <si>
    <t>…á la de la Cabeza, cuya mitad fue rematada en pública sub asta en 14 de Enero de este año en 928 rs., que es el todo de su tasa, y deberá in vertirse en pago de los acreedores de D. Josef Segundo Moreno, presbítero: este aviso se da á dicho poseedor, para que en el término de 30 dias se presente ante dicho señor y por la expresada notaría á usar del derecho de tanteo, si le convi niese; en inteligencia de que pasados sin haber comparecido, se procederá al ot…</t>
  </si>
  <si>
    <t>Moreno, Nicolás</t>
  </si>
  <si>
    <t>Nicolás Moreno</t>
  </si>
  <si>
    <t>…Pedro Pacheco, Don Josef Iglesia , D. Josef Cala, D. Josef Adan, D. Manuel Huertas, D. Tosef Ro mero, D. Josef Villanueva, D. Francisco Capulino, D. Juan Romero, D. Vicente Brete, D. Nicolás Moreno, y entre estos muy en particular Don Josef Cotera, que entrando en esta academia á la edad de seis años sin cono cer el alfabeto, y contando al presente solos ocho, mereció en estas tareas un lugar distinguido. Por último, el arte de enseñar á los sordo-mudos…</t>
  </si>
  <si>
    <t>Moreno, Nicolás Vicente</t>
  </si>
  <si>
    <t>Nicolás Vicente Moreno</t>
  </si>
  <si>
    <t>…, vecino de Ubeda, en varios recibos de dinero entregado para el ejército 31072 rs., 39 fanegas de grano, 11 arrobas de aceite, y 1500 rs. que últi mamente ha entregado en dinero. D. Nicolás Vicente Moreno, presbítero en la villa de Montalvarejo, en réditos de un capital impuesto sobre la renta del tabaco 8400 rs. Un vecino de Badajox, cuyo nombre no quiere se dé al pú blico, en varios recibos de dinero que dio para la defensa de aquella plaza 9260 rs. D. Juan…</t>
  </si>
  <si>
    <t>Moreti, Federico</t>
  </si>
  <si>
    <t>Federico Moreti</t>
  </si>
  <si>
    <t>…oniendo al mismo tiempo de manifiesto un egemplar de una obra inglesa so bre la taquigrafía aplicada á la música, que habia presentado el brigadier de los Reales egércitos y socio D. Federico Moreti, y que franqueaba para que sirviese á los que quisiesen informarse de este nuevo descubrimiento. A RTI CUlO DE OFICIO. En atención al zelo que ha acreditado por el mejor servicio del Rey nuestro Señor y de la causa pública el regente de la jurisdicción de la…</t>
  </si>
  <si>
    <t>Morette</t>
  </si>
  <si>
    <t>…la amistad, canción para dichos instrumentos: tres temas con variaciones para guitarra sola: tres rondós para guitarra sola: tres rondós para guitarra y violin ó flauta, todas del caballero Morette: obertura de la ópera bufa española el licenciado Farfulla, música de! mismo, arreglada para forte-piano y violín ad libitum- por el profesor D. Manuel Rucker: seis canciones españolas, con acompañamiento de pianoforte, de dicho Rucker, de dicadas á la Fxcma.…</t>
  </si>
  <si>
    <t>Morghen, Guillermo</t>
  </si>
  <si>
    <t>Guillermo Morghen</t>
  </si>
  <si>
    <t>…s, y los de comu nicación entre las ciudades, que se concluirán este año. Idem 8 de Febrero. Se ha concluido ya la cuarta lámina de las 12 que ha emprendido últi mamente grabar ei Sr. Guillermo Morghen ,y esta última nos parece mucho mejor que las primeras. Morghen ha delineado en ella con mayor perfección Jos contornos de las figuras , y les ha dado mayor morbidez. Casi al mismo tiempo ha publicado este famoso grabador los retratos de SS. AA. RR. e! duque…</t>
  </si>
  <si>
    <t>Mori</t>
  </si>
  <si>
    <t>…situación militar de los combatientes en la América meridional por las personas que se arriesgan á dar opiniones pre maturas sobre el éxito probable á favor de los insurgentes. El general Mori llo ocupa con tropas españolas todos los puertos de mar, desde Cartagena al cabo Cordillera, que comprende toda la costa de Venezuela , y sus posi ciones interiores están en comunicacioil libre con dichos puertos, de donde saca socorros militares. Los indepen…</t>
  </si>
  <si>
    <t>Morilla, Juan</t>
  </si>
  <si>
    <t>Juan Morilla</t>
  </si>
  <si>
    <t>…campo para el cuidado de las cargas y mulada. Al amanecer se verificó el ataque, destinando al teniente D. Josef María dei Toro con 50 de su cuer po por la derecha, al subteniente D. Juan Morilla con 56 de que se compo nía la partida de España por la izquierda, viniéndome yo por el centro con el canon, 40 del fijo y la caballería: en este estado se rompió el fuego, sos teniendo el suyo el enemigo de fusilería y canon muy activamente, todo lo que duró…</t>
  </si>
  <si>
    <t>43° Toro, á los subtenientes del mismo cuerpo D. Ignacio Bobadilla y D. Joa quín Arzamendi, ai cadete del mismo, que me servía de ayudante, D. Juan Lagos, al subteniente D. Juan Morilla, de ía partida de España, al alférez de húsares D. Joaquín Nuñez, al cadete de caballería ligera D. Bernardo Franco, que también hacia de mi ayudante, á los sargentos Narciso Otero, de la partida de España, D. Josef Martínez, de húsares, y Cornelio Nieves, de…</t>
  </si>
  <si>
    <t>Morillo</t>
  </si>
  <si>
    <t>…de Junio. A consecuencia de haber llegado á Inglaterra en estos últimos dias algu nas cartas particulares de la isla de Santo Tomas, se ha esparcido la voz de haberse apoderado el general Morillo de la plaza de Barcelona* destruyendo completamente las fuerzas del rebelde Bolívar. FRANCIA. Parts 15 de Junio. Los alborotos ocurridos últimamente en varias provincias de Francia por ía carestía del pan no han presentado síntoma alguno de revolución polític…</t>
  </si>
  <si>
    <t>…ia en día mejorándose. Nuestre egército ocupó la provincia y plaza de Barcelona con gran pérdida de los rt:beldes, quedando en nuestro poder I @ fu~iles y otras llluniciones. = El general Morillo continúa trabélj311do con actividad, y asi creemos que en todo el año presente logre pacificar enteramente este pais." Estas m;smas noticias las corrobora e] citado capitao D. Andres de Cortina. Santander 1 ( de Junio de 1817. = Teodoro Argumosa. 3.a Declarac…</t>
  </si>
  <si>
    <t>…ínsula , ha sabi do extender la irresistible influencia de su poder, benignidad y justicia á sus mas remotos dominios, como lo acredita, entre otras, la expedición manda da por el general Morillo, que en tan corto tiempo pacificó un inmenso ter ritorio, restableciendo la buena administración de justicia, como también la agricultura, el comercio y la industria que yacían en el mas deplorable aban dono ; todo lo cual aparece en el siguiente resumen de s…</t>
  </si>
  <si>
    <t>…o tropa alguna, ó se han hecho remesas de efectos, sin que las haya acompañado una persona principal, que con su instrucción impresa pedia lo necesario á los alcaldes. Mientras el general Morillo con estas y otras acertadas providencias, qufe se omiten por evitar prolijidad, restablecía la prosperidad en aquellos paises, los rebeldes Bolívar, Bermude y Piar formaban reuniones de extrangeros y oficiales españoles emigrados, y organizaban un plan de ata…</t>
  </si>
  <si>
    <t>…es de Ocaña con tropas, que se reunieron en Maracaibo , y después de inau ditas marchas y gloriosos reencuentros se logró destruir al enemigo en Ocu m a re. Detenido en Sta. Fe el general Morillo por las inundaciones de los lla nos, y ocupado en el equipo del egército y demas preparativos necesarios para marchar á Caracas á consecuencia de nuevas tentativas de los rebel des, le lles^ó la noticia de que Mina preparaba otra nueva expedición, la cual hab…</t>
  </si>
  <si>
    <t>…á la causa de Jos insurgentes, es manifiesto que las disputas personales y miras envidiosas en tre los independientes producen las consecuencias mas perjudiciales á su cau sa. El general Morillo se halla en estado de entrar en campaña con 7® hombres, á pesar de que el i.° de Julio Bolivar aseguró á los caraqueños que las fuerzas del gefe español no eran suficientes para tomar el puerto de Pampatar, cuya aserción se contradice con el hecho de haber si…</t>
  </si>
  <si>
    <t>Morillo, Pablo</t>
  </si>
  <si>
    <t>Pablo Morillo</t>
  </si>
  <si>
    <t>…delaida, hija segunda del difunto Príncipe de Anhalt-Bernburgo, y hermana de la esposa del Archiduque Palatino de Hungría. ESPAÑA. Santa Fe de Bogotá 16 de Noviembre. Proclama del general D. Pablo Morillo á los habitantes de la NuevaGranada. Desde mi llegada á esta capital no he cesado de ocuparme de vuestra con veniencia y bien estar. El tiempo que habia de mantenerme en este vireinato estaba marcado por el que tardarían en secarse los Llanos. Mucho fue preci…</t>
  </si>
  <si>
    <t>…presión de que le dispensa esta gracia mientras llega la ocasión de hacerle demostraciones1 mas análogas al alto destino con que S. M. Católica se ha dignado honrarle. El teniente general D. Pablo Morillo, general en gefe del egército expe dicionario , existente en Costa - firme, ha participado al señor secretario de Es tado y del Despacho de la Guerra la brillante marcha que ha hecho con parte del mismo egército desde el reino de Sta. Fe á las provincias de V…</t>
  </si>
  <si>
    <t>…go la satisfacción de presentar á V. M. una prueba del amor y respeto que profesan á V. M. todos los individuos que componen la expedición de Costa-firme mandada por los generales D. Pablo Morillo y D. Pascual Enrile. Ni el egército ni la escuadra han obtenido ni solicitado parte alguna de las muchas presas hechas en todas sus victorias, y solo han conservado estas alhajas cogidas en el campo de batalla para dedicarlas á V. M., haciendo ver al mundo entero que ni la dista…</t>
  </si>
  <si>
    <t>…r del Ministerio de Guerra. Con motivo de la reconquista de la plaza de Cartagena de Indias el 7 de Febrero de 1816 por las tropas Reales á las órdenes de los tenientes genera les D. Pablo Morillo, general en gefe del egército expedicionario en Costafirme, y D. Francisco de Montalvo , virey del Nuevo reino de Granada , fue ron arrestados en ella varios individuos de los que principalmente influyeron en la substracción de dicha ciudad y su provincia de…</t>
  </si>
  <si>
    <t>…gioso, y ocurre al alivio y felicidad de sus pueblos.'* El Sr. Secretario del Despacho de la Guerra acaba de recibir del general en gefe del egército expedicionario de Costa-firme D. Pablo Morillo partes oficiales desde sus cuarteles generales de Cum3ná y de Pampatar, en la isla Margarita, que alcanzan hasta el 30 de Mayo de este año: en ellos manifies ta las diferentes ventajas conseguidas contra los rebeldes en las provincias de Guayan*, costa de Gli…</t>
  </si>
  <si>
    <t>…tegiendo con sus fuegos el desembarco que para continuar él plan concertado de abordar y ocupar á Margarita , hicieron en la parte oc cidental de Coche, cerca de 4® hombres con el general D. Pablo Morillo, el brigadier D. Josef Canterac y el coronel D. Juan Aldama; ademas de lo cual continuando siempre en sus movimientos , y en el trasporte de víveres y per trechos auxilió eficazmente al egército en sus operaciones, rechazando y ba tiendo á Jos rebeldes en dif…</t>
  </si>
  <si>
    <t>…e Diciembre de 1817. El Rey nuestro Señor se ha servido conceder la gran cruz y banda de la Real y militar orden de S. Fernando á los tenientes generales D, Joaquín de la Pezuela, D. Pablo Morillo y D. Carlos España , en atención á sus distinguidos servicios y mérito. También se ha servido S. M. conceder la gran cruz y banda de la Real y militar orden de S. Hermenegildo á los tenientes generales D. Juan Carra fa , D. Juan Carlos de Areizaga, y conde de S. Agustín de Toro…</t>
  </si>
  <si>
    <t>Morner</t>
  </si>
  <si>
    <t>…stall, en Bohemia. ALEMANIA. Lnbeck 2 j de Enero. La diputación de Noruega debe partir de Cristiania para Stockolmo í principios de Febrero. Se desmiente la noticia de que el feld-mariscal Morner haya renunciado el gobierno de Noruega. S. E. continúa residiendo en Cristiania, y goza de la mas alta consideración y de una grande confianza. Sus principales esfuer zos se dirigen á calmar las pasiones y á conciliar los partidos. Varios artículos insertos e…</t>
  </si>
  <si>
    <t>Moro, Eustasio Vicente</t>
  </si>
  <si>
    <t>Eustasio Vicente Moro</t>
  </si>
  <si>
    <t>…re cuerpo asistiesen al acto de los exámenes, como lo exigía la protección que siempre había dispensado á dicha academia. Con efecto fueron electos á dicho fin los señores regidor D. Eustasio Vicente Moro , y procurador síndico ge neral D. Miguel Sánchez Henriquez, quienes pasaron al establecimiento de dicha academia á las cuatro de la tarde del referido dia 17 jy habiéndose dado principio ai acto, á presencia de un numeroso concurso, quedaron llenos de la may…</t>
  </si>
  <si>
    <t>Morrondo, Aíanasio</t>
  </si>
  <si>
    <t>Aíanasio Morrondo</t>
  </si>
  <si>
    <t>…xpresada junta el indicado dia y hora; apercibidos que de no hacer» lo les parará el perjuicio que haya lugar. Se desea saber la existencia de Doña Angela Pelayo, muger que fue de Don Aíanasio Morrondo, ó quien represente su persona, para comunicarla un asunto que la interesa, preguntando por D. Tomas Lozano, capellán de nuestra Señora del monte de Piedad , que vive en dicha casa cuarto segundo. Se desea saber el paradero de D. Julián Satnz de Quintanilla,…</t>
  </si>
  <si>
    <t>Mosquera, Josef Sanjurjo y</t>
  </si>
  <si>
    <t>Josef Sanjurjo y Mosquera</t>
  </si>
  <si>
    <t>…les se hallan varios surtidores de agua mineral, cu yas preciosas y saludables cualidades fueron muy estimadas en otro tiempo. Acompañaba á esta exposición una noticia formada por D. Josef Sanjurjo y Mosquera , médico titular de aquella ciudad, en que por las ruinas inmedia tas á dichas aguas, manifiesta el aprecio que hicieron de ellas los romanos, y presentando en seguida algunas experiencias analíticas que ha hecho de la composición de las mismas, y una serie d…</t>
  </si>
  <si>
    <t>Mosquera, Luis María</t>
  </si>
  <si>
    <t>Luis María Mosquera</t>
  </si>
  <si>
    <t>…do sus exposiciones al capitán general D. Joaquin Blake, presidente de la junta de nuevas conde coraciones militares. El Rey nuestro Señor se ha servido conceder su Real permiso á D. Luis María Mosquera para que pueda usar la cruz de la ñor de Lis con que le ha condecorado S. M. Cristianísima. Para mediados de Abril próximo saldrá del puerto de Cádiz una fragata propia de la Real compañía de Filipinas con destino á Manila. Lo que se ha ce saber al público pa…</t>
  </si>
  <si>
    <t>Movilla, Federico</t>
  </si>
  <si>
    <t>Federico Movilla</t>
  </si>
  <si>
    <t>…. Celedonio Casado, D. Vicente Berdion , Don Joa quín Lumeras, D. Tomas Asensio, D. Mateo Rodriguez, D. Valentín Ga veta, D. Pedro Martin, D. Antonio Fernandez, D. Andrés Redondo, Don Federico Movilla, D. Bernardo Huelga, D. Esteban Blanco, D. Miguel Alonrso, D. Cesáreo Viguera, D. Miguel Chana, D. Antonio Castro, D. Toribio González, D. Santiago Alonso, D. Tomas Pardo, D. Ignacio Ojero, Don Fernando Movilla, D. Manuel Gómez, D. Francisco Rodriguez, D. Alv…</t>
  </si>
  <si>
    <t>Movilla, Fernando</t>
  </si>
  <si>
    <t>Fernando Movilla</t>
  </si>
  <si>
    <t>…do Huelga, D. Esteban Blanco, D. Miguel Alonrso, D. Cesáreo Viguera, D. Miguel Chana, D. Antonio Castro, D. Toribio González, D. Santiago Alonso, D. Tomas Pardo, D. Ignacio Ojero, Don Fernando Movilla, D. Manuel Gómez, D. Francisco Rodriguez, D. Alvaro Chaves, D. Fernando García, D. Bernardino Lorenzo y D. Luis de León. El R. P. prior de Sto. Domingo demostró en un discurso que sin la reliion, virtud y buena educación no bastan las leyes á morigerar los pu…</t>
  </si>
  <si>
    <t>Moxó, Salvador</t>
  </si>
  <si>
    <t>Salvador Moxó</t>
  </si>
  <si>
    <t>…á la actividad infa tigable del teniente de navio D. Manuel Cañas, y del alférez de fragata Don Juan Gavaso , segundados por las medidas enérgicas del interino capitán ge neral el brigadier D. Salvador Moxó , que con asombro de todos ha encon trado buques , hombres , pertrechos y dinero donde menos debía esperarse, y de este modo ha resarcido la falta de concurrencia de los buques que desde</t>
  </si>
  <si>
    <t>…tuación de obrar ofensivamente contra los rebeldes, según las or denes que para ello tengo dadas; quedando encargado de dar impulso á to das estas operaciones el mariscal de campo D. Salvador Moxó, pues siendo las distancias inmensas, no es posible decidir oportunamente en las diferentes circunstancias que pueden presentarse. Estas tropas obrarán en combinación con los escuadrones de dragones que á las órdenes del teniente coronel Don Julián Bayer dejé…</t>
  </si>
  <si>
    <t>Moya, Car los</t>
  </si>
  <si>
    <t>Car los Moya</t>
  </si>
  <si>
    <t>…esente á V. E. que toda la oficialidad y tropa ha llenado á mi satisfacción sus deberes, especialmente el indicado gefe y los comandantes de las divisiones de derecha é izquierda, capitán D. Car los Moya y el de igual clase D. Pablo Francisco Rubido, gobernador inte rino de Acapulco, y que al fortín grande, que los enemigos llenos de orgu llo consideraban inexpugnable con el pomposo título del Refugio de sus se cuaces , he titulado por el Rey fertin de S. Jua…</t>
  </si>
  <si>
    <t>Moya, Carlos</t>
  </si>
  <si>
    <t>Carlos Moya</t>
  </si>
  <si>
    <t>…dias de resistencia abierta se entregó á discreción con toda la artillería, armas y municiones de boca y guerra y 300 prisioneros, según su último parte. El 30 de Octubre atacó el capitán D. Carlos Moya á los rebeldes, situa dos en una altura fortificada por el rumbo de Acapulco, y logró desalojar los y destruir sus obras. En 20 de Setiembre último remitió el teniente coronel D. Francisco de las Piedras, comandante de Tulancingo , un diario de operaciones de…</t>
  </si>
  <si>
    <t>Moya, Carlos Rodríguez de</t>
  </si>
  <si>
    <t>Carlos Rodríguez de Moya</t>
  </si>
  <si>
    <t>320 En virtud de providencia del Sr. D. Josef García de la Torre, del Consejo de S. M., alcalde en su Real casa y corte, refrendada del escribano de provincia Don Carlos Rodríguez de Moya, se cita, llama y emplaza á todas y cualesquiera perso nas que se presuman con derecho á la inmediata sucesión del catado y señorío de Tamames, para que en el término de 20 dias, contados desde esta publicación, concurran ante dicho señor alcalde y citada esc…</t>
  </si>
  <si>
    <t>…nde 1743 pies y § de otro cuadrados superficiales, ta sada en Ja cantidad de 61050 rs, vn. Quien quisiere hacer postura acuda ante dicho señor, y por la escribanía de provincia de D. Carlos Rodríguez de Moya, que se le admitirá siendo arreglada. Se halla vacante el partido de médico de la villa de Escalona, provincia de To ledo, á 8 leguas de dicha ciudad y r 2 de la corte, cuya dotación son 6‘d rs., 200 para casa, cuatro carros de leña, y dos cabezas de cerda en…</t>
  </si>
  <si>
    <t>Moya, Cárlos Rodriguez de</t>
  </si>
  <si>
    <t>Cárlos Rodriguez de Moya</t>
  </si>
  <si>
    <t>…r juicio que haya lugar. En virtud de providencia del Sr. D. Joscf García de la Torre, del Consejo de S. M., alcalde en su Real casa y corte, refrendada del escribano de provincia Don Cárlos Rodriguez de Moya, se cita, llama y emplaza á todas y cualesquiera perso nas que tengan ínteres á los bienes que han quedado por fallecimiento abintestato de D. Manuel del Nuevo y Martínez, ocurrido en esta corte en 3 de Abril del año próximo pasado, para que en el término de…</t>
  </si>
  <si>
    <t>…unto general á las de su clase. Por el juzgado de provincia que despacha el Sr. D. Josef García de la Torre, del Consejo de S. M., alcalde en su Real Casa y Corte, y escribanía de D. Carlos Rodríguez de Moya, se ha acudido por parte de D. Ambrosio Ximenez, vecino y</t>
  </si>
  <si>
    <t>Moya, Víctor</t>
  </si>
  <si>
    <t>Víctor Moya</t>
  </si>
  <si>
    <t>…n ayuntamiento pleno, con arreglo á la censura de los examinadores, á los discípulos siguientes: Primera clase: D. Eusebio Tarancon y Alique, D. Leornardo More no.__Segunda clase: D. Víctor Moya, D. Manuel de Torres___ Tercera clase'. D. Josef Vicente Fernandez y Collada, D. Miguel González___ Los examinadores, admirados de los adelantamientos que en el corto tiempo que llevan de enseñanza manifestaron D. Eusebio Tarancon y Alique, D. Leo nardo Moren…</t>
  </si>
  <si>
    <t>Moya, Víctor de</t>
  </si>
  <si>
    <t>Víctor de Moya</t>
  </si>
  <si>
    <t>…n del artificio retórico, estilo, ornato y concinidad de la filípica nona de Cicerón ; á lo cual se siguió un diálogo mitológico, con lo que se concluyó el egercicio. Por la tarde D. Víctor de Moya, mas adelantado en la segunda clase , dió principio con un diálogo sobre la sintaxis, aplicándolo á la traducción del Cornelio Nepote y Julio César, en la traducción de cu yos autores se esmeraron los restantes discípulos de la misma clase. Final mente los di…</t>
  </si>
  <si>
    <t>Mr</t>
  </si>
  <si>
    <t>…so en Améri ca, acusado de haber infringido las leyes del pais, fue citado ante un tribu nal criminal; y protestando contra la competencia de este, se acogió á la protección de su embajador Mr. Dasehkoíf, que recibió, según dicen , del Emperador la orden de pedir satisfacción. Pero la autoridad egecutiva de los anglo-americanos, no juzgando haber contravenido al derecho de gentes en el hecho de proceder contra Mr. KoslofF, rehusó conformirse con la…</t>
  </si>
  <si>
    <t>…romper el día dio con los bandidos, que eran seis, y no 20 como ellos aecian. No hicieron resistencia alguna, mani festando solo en buen italiano que eran hombres de bien; pero el cónsul Mr. Presse conoció inmediatamente á Spiro Franco Polo, quien habiendo hecho dias antes una irrupción en la isla de Argentiere al frente de 200 albanos, puso fuego á la casa de dicho cónsul, y le robo cuanto tenia, después de ha ber echado aceite hirviendo á su m…</t>
  </si>
  <si>
    <t>396 Larache. El éxito de este negocio lia aumentado mucho el buen concepto del cónsul general Mr. Nisen , á quien ha mandado S. M. manifestar su satisfac ción. El vice-almirante Van-der-Capellen había tomado las disposiciones oportunas para apoyar la reclamación del cónsul general, y el comercio del reino puede sin temor entregarse á sus especulaciones,…</t>
  </si>
  <si>
    <t>…epentinamente y en varios puntos las hostilidades contra nosotros. El capitán Hall fue enviado desde Calcuta con pliegos del marques de Hastings, y al tocar en Madras le detuvo el gobernador Mr. Elliot con el objeto de entregarle varios oficios, en que participa la importante noticia de haberse encendido la guerra contra nosotros en los dominios del Peshwa. El honorable Mr. Elphinstone, nuestro Residente en Poonah, sospechaba dias há que el Peshwa t…</t>
  </si>
  <si>
    <t>…ública. Compónese con corta diferencia como la del reino de Saxonia; esto es, de los condes y caballeros, y de los represen tantes de las ciudades. El duque ha mandado á su primer ministro Mr. de Minkwitz presentar á la Dieta una exposición de la situación del ducado desde el año de 1809, época de la última reunión de la asamblea. En este escrito dio cuenta de las mejoras hechas desde aquel tiempo en todos los ramos, y particularmente en la instru…</t>
  </si>
  <si>
    <t>Mr, Mercy y</t>
  </si>
  <si>
    <t>Mercy y Mr</t>
  </si>
  <si>
    <t>…partida de S. A. para que no la coja en el mar el equinoccio de otoño. El Príncipe de Menrernich la acom pañará hasta Liorna, v se dirigirá después á Roma con M *. de Hudeíist, el conde Mercy y Mr. Floret. El Príncipe de Kaunitz, nuestro e nbajador cer ca de la Sta. Sede, se adelantará á ellos para esperarlos en R &gt;ma. El embajador de Inglaterra lord Stewart ha obtenido licencia de su cor te para pasar á Londres, y saldrá dentro de ocho dias. Igualment…</t>
  </si>
  <si>
    <t>Mr, Pedro Regalado</t>
  </si>
  <si>
    <t>Pedro Regalado Mr</t>
  </si>
  <si>
    <t>…ivas. se han liquidado los cré quienes se recibieron los, Capital en inscripciones 1 den de ditos. documentos. sobre el gran libro en. &lt; las li francos. J quida 1 ciones. OOp**■^1 D. Pedro Regalado Mr. Rochelie, abo 1.a 16 de Julio..., del Campo y Don gado en Paris........ 1.686,488 fs.. 62.es.. Antonio de Üriarte, del comercio de Cá diz.. 2.a 6 de Agosto..., El ayuntamiento de D. Fausto de Fo la ciudad de Pam- ronda , residente et&amp;¡ piona. Paris..........…</t>
  </si>
  <si>
    <t>Msnglano, Amtonio</t>
  </si>
  <si>
    <t>Amtonio Msnglano</t>
  </si>
  <si>
    <t>…ero, y D. Henrique Salazar el segundo: en la de aritmética el tercero D. Manuel Velasco : en la de dibujo y arquitectura D. Benito Campo el primero, D. Ramón Garrido el segundo, y D. Amtonio Msnglano el tercero; y á Lorenzo lbañez, cabo del regimiento de caballería del Infan te, por el buen desempeño de su examen con respecto al corto tiempo de estudio que ha tenido, le agraciaron con una caja de lapiceros : en la de mú sica instrumental ganaron D. Marian…</t>
  </si>
  <si>
    <t>Mu, Rafael</t>
  </si>
  <si>
    <t>Rafael Mu</t>
  </si>
  <si>
    <t>…gresos de las alumnas, manifestados en sucintas demostraciones de los distintos objetos de enseñanza en que se ocupa la academia bajo ia dirección de dicha maestra y del preceptor D. Rafael Mu ñoz; por lo que todos en general prorumpieron en expresiones las mas sin ceras del amorque profesan á nuestro Soberano, alabando sus soberanos de cretos en favor de ia enseñanza pública, objeto de sus Reales desvelos; y se concluyó tan agradable acto con una…</t>
  </si>
  <si>
    <t>Mudge</t>
  </si>
  <si>
    <t>…19 de Julio. Escriben de Aberdeen con fecha de 12 de este mes lo siguiente: „El Iú-» nes último llegaron á esta ciudad Mr. Biot, el doctor Olynthus Gregory, el capitán Colby y el capitán Mudge, que van á las islas Oreadas para con tinuar sus observaciones astronómicas á fin de determinar la figura de la tier ra. Las autoridades y los individuos del colegio Marishal los han obsequia do mucho, con cuyo motivo dicen los editores del periódico intitula…</t>
  </si>
  <si>
    <t>Mufflings</t>
  </si>
  <si>
    <t>…12 para Petersburgo. Las cartas de Berlín dicen que los literatos leen con grande ínteres la his toria de la campaña de los aliados en 1815, impresa en Gotha, que se atri buye al general Mufflings, y la cual ha sido muy bien recibida, porque ex plica con toda imparcialidad los defectos cometidos tanto por los aliados como por los enemigos. Mr. Humboldt, en los prolegómenos de sus nuevas especies de plantas, asegura que los antiguos escritores griegos,…</t>
  </si>
  <si>
    <t>Muller</t>
  </si>
  <si>
    <t>…A. Copenhague 25 de Octubre. Ayer por la mañana ancló en esta rada la fragata rusa S. Patricio , uno de los buques de la escuadra de cinco navios y tres fragatas, que al mando del almirante Muller navega con destino á Cádiz. El objeto de la venida de este buque ha sido pedir al Gobierno dinamarqués que los prácticos de es te país permanezcan á bordo de la escuadra hasta desembocar el canal de la Mancha, para evitar asi todo motivo de detención en su vi…</t>
  </si>
  <si>
    <t>Mundo</t>
  </si>
  <si>
    <t>…confusión y preci pitación con que se fugó, si era tropa del Rey ó de los misinos rebeldes. Pos teriormente he sabido que en la plaza del citado pueblo fue pasado por las armas el capitán Mundo; que la partida que le aprehendió es la que manda uti tal Chaves , que era lego betlemita , quien trata, según aseguran , de pre sentarse en esta ciudad con todos los suyos á implorar ia gracia del indulto; de lo que resulte daré á V. S. puntual aviso. ,, Los…</t>
  </si>
  <si>
    <t>Mundo, Miguel</t>
  </si>
  <si>
    <t>Miguel Mundo</t>
  </si>
  <si>
    <t>…Mariano González,que fue aprehendido y conducido á esta por los indios de la ranchería de S. Fe lipe. Este en su declaración manifiesta que pertenecía á la gavilla que manda ba el capitán Miguel Mundo, á quien en la madrugada del 25 , hallándose en el potrero de S. Diego, distante dos leguas de Aculcingo, le atacó y sorpren dió una partida, que no pudo distinguir por la oscuridad, confusión y preci pitación con que se fugó, si era tropa del Rey ó de los mi…</t>
  </si>
  <si>
    <t>Muñoz, Bartolomé</t>
  </si>
  <si>
    <t>Bartolomé Muñoz</t>
  </si>
  <si>
    <t>…to; y del recibo de esta se servirá igualmente darme aviso, á fin de hacerlo presente á este supremo tribunal. Dios guarde á V. S. muchos años. Madrid 3 de Julio de 1817. = Por el secretario D. Bartolomé Muñoz, D. Valentín de Pinilla. = Sr. gobernador de la sala.” Publicada en la sala plena la antecedente resolución, por decreto de 5 de este mes acordó su cumplimiento, y que para que le tenga en todas sus partes se circule á las justicias de los pueblos de su juris…</t>
  </si>
  <si>
    <t>Muñoz, Juan</t>
  </si>
  <si>
    <t>Juan Muñoz</t>
  </si>
  <si>
    <t>…e cuerpo: al sargento mayor de húsares de Fernando vn D. Diego Aragonés que man daba la izquierda, y maniobró oportunamente y con serenidad, asi como el capitán de este regimiento D. Juan Muñoz, que se vio cercado de enemi gos, y fue herido , salvándolo su acreditado valor, que hizo costase cara su existencia al enemigo: al teniente coronel sargento mayor de la Victoria D. Matías Escute, comandante de la acreditada columna de cazadores, que maniobró…</t>
  </si>
  <si>
    <t>Muñoz, Rafael</t>
  </si>
  <si>
    <t>Rafael Muñoz</t>
  </si>
  <si>
    <t>…nito de Salas y Vida! y D. Luis García Monge, ambos de Lebrija: en rudimentos D. Juan Fayula, D. Pedro Garfia, D. Pablo Pavón, D. Juan de Quintaniila, D. Francisco Xavier Morales, D. Rafael Muñoz, todos de Lebrija, y D. Francisco de Paula González y Peña, de Sanlucar de Barrameda : en gramática castella na D. Josef Perez de la Torre de las montañas de Santander, y D. Josef Ma ría Moreno, de Xerez de la Frontera ; y por último en ortografía castellana…</t>
  </si>
  <si>
    <t>Murga, Josef Manuel de</t>
  </si>
  <si>
    <t>Josef Manuel de Murga</t>
  </si>
  <si>
    <t>…onferida por la suprema junta de reintegros de bienes confiscados por el Gobierno intruso, y para satisfacer las cantidades en que fia sido condenada la testamentaría, del difunto D. Josef Manuel de Murga por los desperfectos causados en la casa convento de PP. clérigos menores del Espírilu Santo de esta corte; se sacan á pú blica subasta por término de 30 dias, contados desde esta publicación, las fincas si guientes: tres solares de casa y un sitio erial en e…</t>
  </si>
  <si>
    <t>Murgueitio, Josef</t>
  </si>
  <si>
    <t>Josef Murgueitio</t>
  </si>
  <si>
    <t>…tros á Popayan. Lejos de haber sido castigados todos los gefes de la insurrección, fueron perdonados, aunque no se les concedió indulto, D. Antonio Arboleda, go bernador de Caly ; D. Josef Murgueitio, comandante de las armas de Cartago, y D. Josef Fernandez Madrid, penúltimo presidente del congreso, los cuales imploraron la clemencia dei vencedor; no obstante que el "último de ellos se explicaba de un modo y obraba de otro, como puede verse en las gacetas…</t>
  </si>
  <si>
    <t>Murillo, Bartolomé</t>
  </si>
  <si>
    <t>Bartolomé Murillo</t>
  </si>
  <si>
    <t>…ne se botó al agua en xg de Marzo de 1817, y embarcados en ella SS. MM. y AA., grabada en medio pliego tnirquilla á 3 rs. en negro y á 6 iluminada; y el retrato del célebre pintor D. Bartolomé Murillo, grabado por D. Manuel Alegre, á 3 rs. Se venden en el almacén de estampas de la calle Mayor, frente á la casa del conde de Oñate. EN LA IMPRENTA REAL,</t>
  </si>
  <si>
    <t>Muro, Honorio María de</t>
  </si>
  <si>
    <t>Honorio María de Muro</t>
  </si>
  <si>
    <t>…de letras de la ciudad de Palencia, vacante por muerte de D. Manuel de Villapadierna, á D. Agustín Tosantos y Laprada, corregidor de la ciudad de Guadix: para este corregimiento á D. Honorio María de Muro, que lo era de Almonte: para el de Montiüa, vacante por muerte de D. Antonio Piernas Martínez, á D. Antonio Pimentel y Valenzue-</t>
  </si>
  <si>
    <t>Murray</t>
  </si>
  <si>
    <t>…e del dia 19 partió de aquí para Inglaterra el duque de Wellington, con el objeto de asistir á la fiesta de S. Jorge. Se dice que estará de vuelta antes que se concluya el mes. Ei general Murray ,gefe del estado ma yor del duque, se ha quedado en Parts. S. A. R. Monsieur, conde de Artois, que posee bosques considerables en el departamento del Alto-Mame, ha puesto á disposición del prefecto de</t>
  </si>
  <si>
    <t>Murrieta, Josef</t>
  </si>
  <si>
    <t>Josef Murrieta</t>
  </si>
  <si>
    <t>…Sr. ministro de la Guerra para conocimiento de S. M. de que dos dias antes habia entrado en el puerto de Cádiz, procedente de la Havana, la fragata española nombrada S. Juan, cuyo capitán D. Josef Murrieta habia declarado que á la distancia de cinco ó seis leguas de dicho puerto fue atacado por un bergantín corsario de los insurgentes de Buenos-Aires, fuertemente armado, que intentó con el mas decidido empeño abordar y apresar su fragata; pero que después de un…</t>
  </si>
  <si>
    <t>Murrieta, Juan de</t>
  </si>
  <si>
    <t>Juan de Murrieta</t>
  </si>
  <si>
    <t>…e los individuos de la junta y concurrentes los sugetos siguientes: D. Francisco de Villota á los 14 meses de estudio: D. Felipe de la Puente, D. Miteo Regil, D. Jorge de Urioste, D. Juan de Murrieta y D. Ildefonso de Llano á los 20 meses: D. Anto nio de Calera á los 16: D. Juan de Arredondo á los 14 ; y D. Segundo de Olavarriaá los 22 , sin contar otros tres , que también instruidos como estos, yen igual tiempo, habían salido antes á seguir su destino. Madrid (&gt; de Enero. Al pa…</t>
  </si>
  <si>
    <t>N, J. M. G.</t>
  </si>
  <si>
    <t>J. M. G. N</t>
  </si>
  <si>
    <t>…y la obra toda no se venderá á los que no hayan suscripto hasta concluida toda la impresión, y nunca por tomos sueltos. El experimentado cazador y perfecto tirador, compuesto por D. J. M. G. N., aumentado en esta tercera impresión con el arte de pescar: un tomo en 8.° Se hallará en las librerías de Hurtado y Escribano , calle de las Carretas, en la de Martínez, calle de Preciados, y en la de Villa, plazuela de Sto. Domingo. EN LA IMPRENTA REAL.</t>
  </si>
  <si>
    <t>Na, Francisco Copons y</t>
  </si>
  <si>
    <t>Francisco Copons y Na</t>
  </si>
  <si>
    <t>…id 28 de Diciembre de 18 íó. 2.a Convencido el Rey nuestro Señor del singular mérito que contrajeron en el año de 18 ro las valientes Tropas que bajo el mando de su digno Ge neral D. Francisco Copons y Na vía componían la División nominada del Condado de Niebla; y deseando darlas una prueba de lo gratos que le lian sido los servicios que en aquella lamentable época adquirieron sobre el ene migo á costa de innumerables peligros , ha venido S. M., á petición de…</t>
  </si>
  <si>
    <t>Naharro, Vicente</t>
  </si>
  <si>
    <t>Vicente Naharro</t>
  </si>
  <si>
    <t>…asistencia á la escuela, y mediana aplicación, se instruya en la doctrina cris tiana por los catecismos de Ripalda y Fleuri; en leer en prosa y en verso por el método práctico de D. Vicente Naharro; en escribir por el det Ex celentísimo Sr. D. Josef de Anduaga ; en las cinco reglas de la aritmética por el tratado de D. Josef Mariano Vaílejo; en la gramática y ortografía castella na por la de la Real Academia española, yen las reglas de urbanidad y po lí…</t>
  </si>
  <si>
    <t>Narganes, Faustino</t>
  </si>
  <si>
    <t>Faustino Narganes</t>
  </si>
  <si>
    <t>…l gra duado Urreiztieta con sus valientes, de los que llevaba á la cabeza las com pañías de cazadores de Granada y Union á las órdenes de sus capitanes Don Juan Talomir y graduado D. Faustino Narganes. No sé lo que tue primero, si presentarse nuestra tropa ai descubierto en la plaza , atacar á la bayoneta, ó huir despavoridos los enemigos de la brecha, corriéndose por su izquierda, en donde favorecidos de sus intactos parapetos hacían un fuego homicida so…</t>
  </si>
  <si>
    <t>Nariskin</t>
  </si>
  <si>
    <t>…lle vado á Smirna , donde ei cónsul de Francia le ha íecibido con el mayor agasajo. El dia 18 fueron presentados al Rey el conde de Rostopchin, goberna dor que fue de Moscow, y el conde Nariskin, gentilhombre del Emperador Alejandro.</t>
  </si>
  <si>
    <t>Nasarre.----, Manuel</t>
  </si>
  <si>
    <t>Manuel Nasarre.----</t>
  </si>
  <si>
    <t>…es de mayor consumo”: so bre lo que disertó D. Josef María Echarri.----„No puede conocerse la suma de los valores que posee una nación por la de su moneda”: sobre lo que di sertó D. Manuel Nasarre.----,,Son inútiles las penas, y perjudiciales las re compensas que se establecen con el fin de aumentar la población; pues para esto basta dispensar libertad y seguridad al egercicio de las industrias”: sobre que se egercitó D. Pedro Gudal. —,,Lo$ impuestos siempr…</t>
  </si>
  <si>
    <t>Natzmer</t>
  </si>
  <si>
    <t>…artió an teayer para Petersburgo, y la acompañaron hasta Freinwalde el Rey y la familia Real___ El mismo dia salió S. A. R. el Príncipe Guillermo para Pe tersburgo, acompañado del general Natzmer y de un ayudante. Idem 24. Esta madrugada partió el Rey de Potsdam con dirección á Carlsbad, y pasará por Witemberg, Torgau, Dresde y Toeplitz. S. M. viaja con el nombre de conde de Ruppin. El 18 llegaron á Koenigsberg SS. AA. RR. la Princesa Carlota y el Prí…</t>
  </si>
  <si>
    <t>Navainuel, Mariano Ruiz de</t>
  </si>
  <si>
    <t>Mariano Ruiz de Navainuel</t>
  </si>
  <si>
    <t>…n Gil y Garcés, deán de la catedral de Valladolid de Mechoacan; al capitán de navio D. Juan Jacinto de Vargas; D. Antonio Julián Alvarez, oidor de la audiencia de Puerto-Príncipe; Don Mariano Ruiz de Navainuel, dignidad de la catedral de Chile; D. Francisco Pablo Vázquez , dignidad de la catedral de Puebla de los Angeles; D. Pe dro Perez Muñoz, vecino de Quito; D. Mateo de Agüero Marcos, secreta rio general interino de la orden, y al capitán de navio D. Alejandro G…</t>
  </si>
  <si>
    <t>Navarrete, Ignacio María de Alava y</t>
  </si>
  <si>
    <t>Ignacio María de Alava y Navarrete</t>
  </si>
  <si>
    <t>…sde el 15 del corriente á matricularse en el referido Real colegio, calle del Barco, núms. 18, 19 y 20. El dia 26 del mes de Mayo último falleció en la villa de Chiclana el Excmo. Sr. D. Ignacio María de Alava y Navarrete, gran cruz de las Rea les órdenes españolas de Carlos m, y militares de S. Fernando y S. Herme negildo , caballero de la de Santiago , administrador de la encomienda de las casas de Talavera en la de Calatrava , capitán general de la Real Armada, decano dei s…</t>
  </si>
  <si>
    <t>Navarrete, Martin Martínez</t>
  </si>
  <si>
    <t>Martin Martínez Navarrete</t>
  </si>
  <si>
    <t>Príncipe D. Martin Martínez Navarrete con &lt;¡o caballos á dicha hacienda. A la legua y media recibí parte de mi segundo ti capitán D. Juan Domingo Rábago de que los enemigos se habían presentado por el rumbo del valle. Inmediatamente dirigí dos correos para que verbalmente instruyeran á vmd. de lo…</t>
  </si>
  <si>
    <t>Navarro, Antonio María</t>
  </si>
  <si>
    <t>Antonio María Navarro</t>
  </si>
  <si>
    <t>…as muchas corporaciones que felicitaron á la Reina nuestra Seño ra á su llegada á Córdoba , fue una la diputación del ayuntamiento de la villa de Castro el Rio, compuesta del Lie. D. Antonio María Navarro, alcalde mayor, y presidente de la corporación, D. Joaquín María de Corral y Cuellar, regidor, alférez mayor ,y teniente de corregidor , D. Francisco Antonio Jurado Valdelomar, teniente coronel, y capitán de granaderos del regimiento provincial de Córdoba, y…</t>
  </si>
  <si>
    <t>Navarro, Francisco Josef</t>
  </si>
  <si>
    <t>Francisco Josef Navarro</t>
  </si>
  <si>
    <t>…ranza corre á cargo de su ayuntamiento: no tiene obligación de sangrar ni afeitar. Los pretendientes á quienes acomode dirigirán sus instancias al escribano del mismo ayuntamiento D. Francisco Josef Navarro en el término de 15 dias , conta dos desde este aviso. Ocios de mi arresto, ó correspondencia mitológica. Esta obra ofrece una lectu ra necesaria por la conexión de la mitología con el estudio de las bellas letras, y amenizando la instrucción en esta materia…</t>
  </si>
  <si>
    <t>Navarro, Francisco Velloc y</t>
  </si>
  <si>
    <t>Francisco Velloc y Navarro</t>
  </si>
  <si>
    <t>…fallecimiento de D. Josef Fernandez Cuenca, vecino y del comercio que fue de la ciudad da Sevilla, se han formado autos sobre el inventario y partición de sus bienes ante el Lie. D. Francisco Velloc y Navarro, teniente segundo de asisten te, alcalde mayor por S. M. en dicha ciudad, y por la escribanía de su número que egerce D. Francisco de Paula Cáceres; y en providencia de 26 de Marzo próximo se ha mandado citar y emplazar, como desde luego se hace, á D. Pedro F…</t>
  </si>
  <si>
    <t>Navarro, Joaquín</t>
  </si>
  <si>
    <t>Joaquín Navarro</t>
  </si>
  <si>
    <t>…y satisfacción. Dios guarde á V. muchos años. Madrid 26 de Enero de 1817. El Rey se ha servido nombrar gefe de Escuela en el departamento de ar^ tillería de Cartagena al teniente general D. Joaquín Navarro, conde de Casa Sarria , coronel de dicha arma. En atención á los distinguidos servicios y particulares circunstancias que concurren en D. Santiago Hernández, vecino de la villa de Puerto Príncipe, en la isla de Cuba , se ha dignado S. M. concederle, á consult…</t>
  </si>
  <si>
    <t>Navarro, Wintila</t>
  </si>
  <si>
    <t>Wintila Navarro</t>
  </si>
  <si>
    <t>…abineros D. Ramón Cifuentes, que se portó con la serenidad que acostumbra: al capitán graduado de artillería ayudante del estado ma yor D. Sebastian Diaz; y al capitán de Numancia D. Wintila Navarro, que lo es del coronel Calzada, por la oportunidad y viveza con que comunica ron las órdenes y ocurrieron á todos los puntos despreciando, los peligros; siendo en general digno de aprecio el mérito que han. contraído en esta ac ción todos los demas oficiales…</t>
  </si>
  <si>
    <t>Navas, Josef</t>
  </si>
  <si>
    <t>Josef Navas</t>
  </si>
  <si>
    <t>…s de su sar gento mayor D. Vicente Bausá quedó en reserva para que acudiese adon de fuese necesario, y la caballería de dragones con la del pais á las del co mandante de escuadrón D. Josef Navas fue á colocarse hacia el Cementerio, parte opuesta á la que se batia en brecha, con instrucciones de atacar al ene migo en caso de que intentase su fuga, como era presumible. Dadas estas dis posiciones quedó á mi lado el coronel de Barbastro D. Juan Cini, seg…</t>
  </si>
  <si>
    <t>Navas, Juan de</t>
  </si>
  <si>
    <t>Juan de Navas</t>
  </si>
  <si>
    <t>…:Tratado completo de la flebotomía ú operacio nes de la sangría, un tomo en 8.°™Tratado teórico y práctico de las hernias en ge neral, un tomo en 8.°zzOperaciones de los partos de D. Juan de Navas, con lámi nas, dos tomos en 4.0 Moyses considerado como legislador y moralista, ó legislación religiosa, políti ca, civil, criminal y moral de los hebreos: por Mr. de Pastoret, individuo de va rias academias de Europa; traducido y adicionado considerablemente…</t>
  </si>
  <si>
    <t>Navia, Francisco Copons y</t>
  </si>
  <si>
    <t>Francisco Copons y Navia</t>
  </si>
  <si>
    <t>…gratos que le han sido los servicios contraídos en su obsequio durante su cautividad por los in dividuos de armas, que bajo las órdenes de su general en gefe el teniente ge neral D. Francisco Copons y Navia, compusieron en los anos de 1813 y 1814 el nominado primer egército; como asimismo que no queden sepultadas en el olvido las innumerables ventajas que en dicha época consiguieron de los enemigos, con gloria de la nación española; ha venido S. M., á petición d…</t>
  </si>
  <si>
    <t>Navia, FranciscoCopons y</t>
  </si>
  <si>
    <t>FranciscoCopons y Navia</t>
  </si>
  <si>
    <t>…olicitud de esta especie. De orden de S. M. lo comunico á V. para su inteligencia y efectos convenientes. Dios guarde á V. muchos años. Madrid 26 de Enero de 1817. 2.a El teniente general D. FranciscoCopons y Navia, como com: n Jante ge neral que fue de la primera división del nominado egército del Centro,lia recurrido á S. M. solicitando que la cruz de distinción concedida á las tropas del egército, que bajo las órdenes del difunto teniente general duque de Alburquerqu…</t>
  </si>
  <si>
    <t>Navos, Francisco Marcos y</t>
  </si>
  <si>
    <t>Francisco Marcos y Navos</t>
  </si>
  <si>
    <t>…mpendio general del canto llano, figurado y órgano en método fácil: ¡lustrado con algunos capítulos muy precisos para aprovechamiento y enseñanza: di vidido en cinco tratados; por D. Francisco Marcos y Navos, salmista por S. M. en su X^eal iglesia de $. Isidro: un tomo en 4.0 Se hallará en las librerías de Novillo, calle de la Concepción Gerónima, de Sojo, calle de las Carretas, y en la imprenta de Dívila, calle de Barrionuevo. El Conservador de la salud de las m…</t>
  </si>
  <si>
    <t>Negrete</t>
  </si>
  <si>
    <t>…vincia las gavillas de los Rayones, Nuñiz, Sán chez, Huerta y otros, y aunque recorrí en su alcance mucha parte de la Sierra y Tierra caliente hasta ponerme en comunicación con el Sr. Negrete, que también habia hecho movimiento por el valle de Periban , no fue posi ble ponerme á distancia en que doblando una marcha pudiese caer sobre ellos, hasta que al salir por el valle de Brecho á Ario, en este último punto tuve la noticia de que retrogradando…</t>
  </si>
  <si>
    <t>Negrete, Pedro Celestino</t>
  </si>
  <si>
    <t>Pedro Celestino Negrete</t>
  </si>
  <si>
    <t>…las tres de la mañana de hoy desde el pie del cerro de Comanja, me ha encargado dé egecutivamente parte á V. E. de que en la tarde de ayer las tropas de Guadalajara, al mando del brigadier D. Pedro Celestino Negrete, se colocaron en un cerro al lado del S. O. de Comanja á tiro corto de canon: que las del coronel D. Josef Ruiz, que vinieron por los altos de Ibarra, tomaron un parapeto avanzado del enemigo en el cerro de las Tablas, que está al N. de Comanja, en cuyo punto…</t>
  </si>
  <si>
    <t>Negretecon, Pedro Celestino</t>
  </si>
  <si>
    <t>Pedro Celestino Negretecon</t>
  </si>
  <si>
    <t>…i8i6.=rExcmo. Sr. = Josef Ignacio Ortiz de Rosas. =Excmo. Sr. general D. Josef de la Cruz.” 3.0 Parte mandado imprimir en Gitadalajara por el Excmo. Sr. X&gt;. Jo sef de la Cruz. El brigadier D. Pedro Celestino Negretecon fecha de 11 del corriente á las cinco de la tarde en los Reyes, me dice entre otras cosas sumamente agradables lo que sigue ,, iva el rey! Mi general: Tengo la satisfacción, de dar á Sf. E. parte que está en nuestro poder el fuerte de Cuiristaránalias S. Migu…</t>
  </si>
  <si>
    <t>Negro, Luis</t>
  </si>
  <si>
    <t>Luis Negro</t>
  </si>
  <si>
    <t>…á las gradas de S. Felipe, y en Valladolid en la de Roldan, á 6 rs.~Las sembraderas construidas con arreglo al modelo del autor se hallarán de venta en esta corte en el taller de D. Luis Negro, calle de la Flor baja, núm. 12. Catálogo de una copiosa librería que contiene libros de todas Jas ciencias, y las obras clásicas griegas y latinas, tasada en 105S) rs. vn. , y se vende junta en Valen cia. Se hallará en la librería de Hurtado, calle de las Ca…</t>
  </si>
  <si>
    <t>Newport, J.</t>
  </si>
  <si>
    <t>J. Newport</t>
  </si>
  <si>
    <t>…ble modo de pensar. Entre ellos hay siete empleados, que son los siguientes: lord Castlereagh , el canciller del Echiquier, lord Binning, Mr. Peel, Mr. Huskisson, Mr. Ticrney y el caballero J. Newport. Los demas son Mr- Baukes, Mr. Frankland Lewis, Mr. Hut Davis, Mr. Tramayne , Mr. Harford., Mr. Cartwight, Mr. Catvest y otros.</t>
  </si>
  <si>
    <t>Ni</t>
  </si>
  <si>
    <t>…el rito griego, en la iglesia mayor, y después de la ceremonia de la confirmación recibió S. A. R. la comunión. Al dia siguiente se celebraron sus desposorios con S. A. I. el gran duque Ni colás con mucha pompa. S. A. R. el Príncipe Augusto de Prusia ha ido á Dresde bajo el título de conde de Mansfeld. Esperan en los baños de Dobaran al feld-mariscal Príncipe Blucher. El Príncipe archicanciller de Estado marchó el 15 para Carlsbad. AUSTRIA. Vie…</t>
  </si>
  <si>
    <t>…nos dice de Real orden lo siguiente : ,, Enterado el Rey de la exposición de VV. SS. de 17 de Julio último, en que preguntan si las dos terceras partes de■ jubilación concedidas á D. Ni colás Guendica, administrador general últimamente de Rentas estancadas de la provincia de Jaén , deben entenderse de los 50© reales que tenia de dota ción por reglamento su anterior destino de administrador general de rentas unidas de Cádiz, ó del de 40© real…</t>
  </si>
  <si>
    <t>Nicolás</t>
  </si>
  <si>
    <t>323</t>
  </si>
  <si>
    <t>…sitar á S. A. R. la duquesa de Berry, y por la mis ma razón su augusto esposo no ha recibido visitas. En el cuartel general del egército ruso, situado enMaubeuge,se espera al gran duque Nicolás que se halla todavía en Londres. El teniente general conde de Woronzow, comandante del contingente ruso en Francia, que se ha lla en el día en París, marchará á Maubeuge á recibir al gran duque, quien en seguida pasará á Bruselas. Hemos recibido periódicos in…</t>
  </si>
  <si>
    <t>…á los magistrados á tomar las debidas precauciones. Han llegado á la posada de S. Albano muchos arados de nueva invención, y gran porción de utensilios de agricultura que el gran duque Nicolás ha comprado en su último viage, y se lo lleva todo á Rusia. El caballero Eduardo Owea está encargado de conducir al gran duque á</t>
  </si>
  <si>
    <t>…to. Se asegura que va con destino á la isla de Chipre, en donde hay un gran número de milicias. Varis 20 de Marzo. Escriben de Lila con fecha de 18 del actual que S. A. I. el gran duque Nicolás fue recibido el mismo dia en aquella ciudad con todos los honores debidos á su clase, y conforme á la relación de amistad que existe entre las cortes de París y de Petersburgo. La guarnición se puso sobre las armas, y las autoridades civiles y militares tuvie…</t>
  </si>
  <si>
    <t>…sta el año de 1814, en que volvió á Gante á egercer las funciones epis copales. Se espera en esta ciudad á muchos extrangeros de la mayor distinción, entre quienes se cita al gran duque Nicolás, al teniente general conde de Woronzow, comandante del contingente ruso en Francia, y á otros varios. Han llegado ya algunos oficiales rusos de superior graduación. GRAN BRETAÑA. Londres if de Marzo. La junta de comercio de Nueva-Yorck presentó el 20 de Enero…</t>
  </si>
  <si>
    <t>…del cuerpo de egército de ocupación en Francia se reunieron en Louisburgo para ser licenciadas; y en consecuencia se han vuelto á sus casas. Francfort 3 de AbriL S. A. I. el gran duque Nicolás pasó por aqui con dirección á Stuttgardt, donde permanecerá poco tiempo, y desde alli irá porWutzburgo áWeimar. El dia 15 estará en Berlín, donde se celebrará su matrimonio con S. A. R. la Princesa Carlota. Los augustos esposos marcharán inmediatamente á Pete…</t>
  </si>
  <si>
    <t>Ntún. [f cuartos.] S°f GACETA DE MADRID DEL SABADO 17 DE MAYO DE 1817. PRUSIA. Berlín 1 § de Abril. Esta mañana llegó a esta capital el gran duque Nicolás, á quien salió á recibir Mr. de Alopeus , ministro de Rusia, el cual ha resuelto dar el dia 20 941 honor de este Príncipe un magnífico baile, ai que asistirá la familia Real. El contrato de su matrimonio con la Princesa Carlota está ya formalizado, y efectuad…</t>
  </si>
  <si>
    <t>…TES 10 DE JUNIO DE 1817. RUSIA. Petersbiirgo jo de Abril. Se han hecho aquí grandes preparativos para el recibimiento de S. A. R. la Princesa de Prusia, esposa de S. A. I. el gran duque Nicolás. En cada uno de los 40 lugares donde tiene que hacer descanso hasta llegar á esta ca pital, habrá una compañía de infantería y dos piquetes de caballería que la servirán de escolta. S. A. R. no llegará aquí hasta mediados de Junio. El Emperador ha comprado en…</t>
  </si>
  <si>
    <t>…s tropas de varios gobernadores de aquellas cercanías, y deben obrar de concierto con las de Dschianik. ' PRUSIA. Berlín 14 de Junio. S. A. R. la Princesa Carlota, esposa del gran duque Nicolás, partió an teayer para Petersburgo, y la acompañaron hasta Freinwalde el Rey y la familia Real___ El mismo dia salió S. A. R. el Príncipe Guillermo para Pe tersburgo, acompañado del general Natzmer y de un ayudante. Idem 24. Esta madrugada partió el Rey de Po…</t>
  </si>
  <si>
    <t>774</t>
  </si>
  <si>
    <t>…á título de préstamo millón y medio de rublos repartido entre los que fabrican las casas. Se espera aqui del 21 al 22 á la Princesa Carlota de Prusía, cuyo matri monio con ci gran duque Nicolás se celebrará inmediatamente que llegue. ALEMANIA. Lubeck i 2 de Jimio. Se ha publicado en algunos periódicos el estado de fuerzas militares de Dinamarca y de Suecia que es como sigue: las de Dinamarca se componen en el dia de 8 regimientos de caballería de á…</t>
  </si>
  <si>
    <t>…encargado al ministro de Hacienda que presente al examen del consejo del imperio el proyecto de todas las disposiciones necesarias para este establecimiento &amp;c.” S. A. I. el gran duque Nicolás ha sido nombrado canciller de la univer sidad de Abo. Riga 2$ de Junio. Ayer llegaron aquí la Princesa Carlota y el Príncipe Guillermo de Prusia. El gran duque Nicolás precede siempre á su ilustre novia, y la espera en los sities destinados para hacer noche,…</t>
  </si>
  <si>
    <t>…sovia de 30 de Junio anuncian que S. A. R. el gran duque Constantino había partido el dia anterior á Petersburgo para asistir al ceremonial y á las fiestas del matrimonio del gran duque Nicolás. Nuremberg 13 de Julio. Los comandantes rusos situados en diversos puntos del camino militar que se dirige de Francia á Rusia por Alemania han hecho saber al público que á consecuencia de la escasez y carestía de los países por donde pasa el camino militar, e…</t>
  </si>
  <si>
    <t>…rra, ministro del Consejo, para que sirviese esta comisión en los mismos términos y con las propias fa cultades que sus antecesores; y ahora con motivo del fallecimiento del dicho Sr. D. Nicolás ha tenido á bien S. M. por su Real cédula de de Julio próximo nombrar al limo. Sr. D. Francisco Marín, del Consejo y Cámara, para que le suceda en el citado encargo. Y lo participo á V. de orden del Consejo para su inteligencia y cum plimiento en lo que le co…</t>
  </si>
  <si>
    <t>…D DEL MARTES 26 DE AGOSTO DE 1817. RUSIA. Petersburgo 11 de Julio. El manifiesto que S. M. el Emperador ha mandado publicar con motivo del matrimonio de su augusto hermano el gran duque Nicolás con la Prince sa Carlota de Prusia, está concebido en los términos siguientes: „Nos Alejandro por la gracia de Dios &amp;c. &amp;c. La divina Providencia, árbitra del destino de los Soberanos y de los imperios, que en estos últimos tiempos ha colmado á la Rusia de nu…</t>
  </si>
  <si>
    <t>Núm. roy. [ f cuartos. ] 94? GACETA DE MADRID DEL SABADO 6 DE SETIEMBRE DE 1817. RUSIA. Petersburgo 22 de Julio. El día de los desposorios del gran duque Nicolás con la gran duquesa Alejandra regaló esta Princesa varias cajas guarnecidas de brillantes y ador nadas con su retrato á Mr. de Guriew, ministro de Hacienda; á Mr. Kosadawlew, ministro del Interior; al príncipe Alejandro Golizin , ministro in terino del Culto…</t>
  </si>
  <si>
    <t>…iguel. En el mismo dia el conde de Brusasco, encargado de Negocios de Cerdeña, tuvo el honor de presentarse á SS. MM. el Emperador y á las Emperatrices reinante y ma dre , al gran duque Nicolás y á la gran duquesa Alejandra. El Emperador debe salir de aquí el 1.° de Setiembre, y su ausencia du rará de 15 á 16 meses. Desde luego pasará á Witepsk á inspeccionar las tro pas que forman el cuerpo de egército del general Barclay de Tolly,y llega rá en Nov…</t>
  </si>
  <si>
    <t>…nde con tierra de Ambrosio Cabello y la vereda que va á Valdelaunquera, de ca ber 8 aranzadas y 106 cepas, tasadas en 4959 rs.: otra en donde llaman el Morrión, linde con viñas de D. Nicolás de la Canal y de Ambrosio Cabello, de caber 5 aran zadas y 2 10 cepas, en 5522 rs. y 17 mrs.-. otra en donde llaman Camino de Valdecanto, linde con viñas de Doña Antonia Correas, con 5 aranzadas y 318 cepas, en 4Ó36: otra donde llaman el Prado, linde con viña…</t>
  </si>
  <si>
    <t>…kae-Zeto para recorrer las provincias meridionales de su imperio. S. M. pasará después á Moscow á reunirse con su augusta familia. SS. MM. las Emperatrices Isabel y María, el gran duque Nicolás y la gran duquesa Alejandra llegarán también á Moscow á mediados de Octubre, y la corte permanecerá en aquella antigua capital del imperio hasta el mes de Mayo próximo. Una diputación de la nobleza de Curlandia ha presentado á S. M. la re solución que ha toma…</t>
  </si>
  <si>
    <t>…, de los condes de Araktsrjow y Osarowsky, y de los coroneles Orlow y Danglowsky. SS. MM. las Emperatrices Isabel y María vinieron anteayer de su resi dencia de verano con el gran duque Nicolás y el Príncipe Guillermo de Prusia. Con motivo de ser dias del Emperador, y celebrarse la función de S. Alejandro-Newsky, hubo corte, y felicitaron á SS. MM. el cuerpo diplomático, los generales y la nobleza, y en seguida fueron todos en cuerpo al monaste rio…</t>
  </si>
  <si>
    <t>…linde con tierra de Ambrosio Cabello y la vereda que va á Valdelaunquera, de ca ber 8 aranzadas y 106 cepas, tasada en 4959 rs.: otraen donde llaman el Morrión, linde con vinas de D. Nicolás de la Canal y de Ambrosio Cabello, de caber 5 aran zadas y 210 cepas, en 5522 rs. y 17 mrs.: otra en donde llaman Camino de Valdecantos, linde con viñas de Doña Antonia Correas, con 5 aranzadas y 318 cepas, en 4636 rs.: otra donde llaman el Prado, linde con v…</t>
  </si>
  <si>
    <t>…r en Moscow, y que Mr. de Oubril, consejero de Es tado actual, permanecerá en Petersburgo para seguir con ellos Jos asuntos que ocurran. Mr. de Stroch, ministro deS. A. I. el gran duque Nicolás, ha sido nom brado consejero de Estado. PRUSIA. Berlín 7 de Octubre. El burgo-maestre de esta capital ha hecho publicar un bando llamando á todos los jóvenes de 20 á 25 años que no han satisfecho la obligación del ser vicio militar impuesta á todos los prusia…</t>
  </si>
  <si>
    <t>Nieburh</t>
  </si>
  <si>
    <t>…preciosos de la biblioteca Real. Por fortuna parece que hemos llegado ya al tiempo en que la afición á las ciencias se hermana con el egercicio de los empleos mas condecorados. El caballero Nieburh, enviado plenipotenciario de Prusia cerca de la corte de Roma , acaba de descubrir dos fragmentos, de los cuales el uno comple ta la oración de Cicerón pro Marco Kabirio y y el otro es un manuscrito de un trozo de la oración pro Piando ,que ya poseíamos. El r…</t>
  </si>
  <si>
    <t>Nieburn</t>
  </si>
  <si>
    <t>…l rollo de pergamino que comprende estos dos preciosos fragmentos es el mismo en que el seño* Amanduzzr habia encontrado ya un fragmento inédito de Tito Livio. Según se asegura el caballero Nieburn ha encontrado también algunos trozos de las obras de Séneca. ESPAÑA. Córdoba 18 de Enero* El dia 16 del pasado se celebraron exámenes públicos de educación en las escuelas Reales gratuitas de primeras letras de esta ciudad, fundadas en el colegio de la Compañ…</t>
  </si>
  <si>
    <t>Nieto, Remigio</t>
  </si>
  <si>
    <t>Remigio Nieto</t>
  </si>
  <si>
    <t>…edado en esta ciudad con el empleo de capitán de la partida de indultados con quienes se presentó, y son los siguientes: D. Manuel Oteiza, D. Antonio Trevíño , D. Damian Arandía , D. Remigio Nieto , D. Igna cio Améscua , D. Juan Pineircs, D. Rías Arandía, Aniceto Acosta, Cayeta no Quintana, Rafael Vega , Agustín Navarrete, Antonio Castrejon, Vicente Perez , Josef María Perez , Josef María Sánchez, Miguel Salas é Isabel Costilla. „Paztcuaro Marzo 6 de 1…</t>
  </si>
  <si>
    <t>Nieto, Vicente</t>
  </si>
  <si>
    <t>Vicente Nieto</t>
  </si>
  <si>
    <t>…s que le causó en su persona el dia 14 de Julio de 814, hallán dose egerciendo jurisdicción en falta del alcalde; y por sentencia de 22 de Julio de 1816 se declaró que el referido D. Vicente Nieto había probado bien y debidamente su acción, no habiéndolo hecho de sus excepciones ei demandado Lúeas Mateo; en cuya consecuencia, y en atención á haber fa llecido este con expresa declaración de que se había excedido , faltando al decoro correspondiente á la…</t>
  </si>
  <si>
    <t>Nieto, Vicente Josef</t>
  </si>
  <si>
    <t>Vicente Josef Nieto</t>
  </si>
  <si>
    <t>…ien y como cor responda. Madrid 28 de Julio de 1817. En el juzgado de la capitanía general de Aragón se siguió causa criminal, en virtud de Real orden , y á solicitud del teniente coronel D. Vicente Josef Nieto, capitán del regimiento provincial de Ciudad-Real , contra Lúeas Ma teo, vecino y regidor que fue del lugar de la Muela,por los ultrajes y atropellamientos que le causó en su persona el dia 14 de Julio de 814, hallán dose egerciendo jurisdicción en falta del…</t>
  </si>
  <si>
    <t>Nieves, Juan Josef</t>
  </si>
  <si>
    <t>Juan Josef Nieves</t>
  </si>
  <si>
    <t>…e del mismo D. Francisco León; y los heridos el teniente de granaderos D. Juan Calvet y el ayudante de dra gones de la Union D. Antonio Alburquerque, y el del Rey de infantería el teniente Juan Josef Nieves. Cuartel general de Nueva-Barcelona Abril 8 de i8i7.= Gefe de estado mayor interino, Manuel Bausá. = V.Ü B.° = Juai* de Aidama. De la relación que se expresa resulta que son 22 piezas de artillería dé diferentes calibres con 9 cureñas, 918 fusiles, 487 bayone…</t>
  </si>
  <si>
    <t>Nifo, Mariano</t>
  </si>
  <si>
    <t>Mariano Nifo</t>
  </si>
  <si>
    <t>…los demas. Se hallará en Ja librería de Escovar, calle de Majaderitos ancha. Ultima despedida de la Maríscala á sus hijos, compuesta por el marques de Caracciolo, y traducida por D. Mariano Nifo, novena impresión: un tomo en 8.° Se vende en la librería de Dávila, calle de la£ Carretas. EN LA IMPRENTA REAL.</t>
  </si>
  <si>
    <t>Ninguno, Luis Díaz Hoyue</t>
  </si>
  <si>
    <t>Luis Díaz Hoyue Ninguno</t>
  </si>
  <si>
    <t>…, del comercio de Cá diz.. 2.a 6 de Agosto..., El ayuntamiento de D. Fausto de Fo la ciudad de Pam- ronda , residente et&amp;¡ piona. Paris.................. 163,606.. 74;. 3-* Idem.. D. Luis Díaz Hoyue Ninguno........... 727- ^ los , del comercio de Burgos. 4-a Idem.. D. Manuel Sanz Cal D. Manuel Robre vo, del comercio de, do, en Madrid....... 806.. Segovia. 5,a' Idem. Francisco Hateo,, Mr. de la Croix, de vecino de Salaman París......................... 1,599.. ca…</t>
  </si>
  <si>
    <t>Nogue, Agustín</t>
  </si>
  <si>
    <t>Agustín Nogue</t>
  </si>
  <si>
    <t>PDF p. 14</t>
  </si>
  <si>
    <t>…surgente, y enarboió el del Rey que llevaba al efecto. Tam bién marchó á la cabeza de^ su compañía de granaderos el comandante acci dental de. Granada capitán graduado de teniente coronel D. Agustín Nogue ras, y de la de cazadores de Clarines el teniente coronel D. Francisco Xirnenez, los que siguieron á la.brecha, y entraron al frente de ellas con el va lor y decisión que el resto de la bizarrísima columna: no siendo posible re comendar a V. E. particularment…</t>
  </si>
  <si>
    <t>Nora, Antonio Estrada</t>
  </si>
  <si>
    <t>Antonio Estrada Nora</t>
  </si>
  <si>
    <t>…ación y aprovechamiento: en seguida egercitaron todos los niños por el orden que se les tenia señalado, y bajo la dirección de sus respectivos maes tros D. Josef Patricio Buendía, D. Antonio Estrada Nora, D. Manuel Tri gueros y D. Bernardo Diaz Malo, en leer en prosa y en verso, en la calo grafía, en la aritmética especulativa y práctica, en la gramática y orto grafía castellana y en la historia sagrada; lo cual desempeñaron todos con el mayor despejo, mereci…</t>
  </si>
  <si>
    <t>Noriega, Domingo</t>
  </si>
  <si>
    <t>Domingo Noriega</t>
  </si>
  <si>
    <t>…capitán D. Josef Fernandez de Córdoba por el zeio y actividad con que se está manejando, como también la puntualidad con que emprendieron la marcha los oficiales D. Joaquín Gata, D. Domingo Noriega y D. Vicente González, destinados á la sorpresa referida, la exactitud con que observaron las órdenes que llevaron, las dificultades que tuvieron que vencer con la tro pa de su mando, y la subida al monte sobre que se hallaba el campamen to, aprovechando el lance enteramente, y da…</t>
  </si>
  <si>
    <t>…á pedir la gracia del indulto. (*) Recomiendo á vmd. toda la división, y muy particularmente al tenien te y subteniente del regimiento infantería de Fernando vn D. Joaquín Ga ta y D. Domingo Noriega , y al teniente del escuadrón urbano de Toluca D. Vicente González, por la constancia con que superaron los muchos obs táculos en la rápida marcha y demas movimientos que tuvieron que egecutar en aquella noche, para que si lo tuviere á bien se sirva elevarlo…</t>
  </si>
  <si>
    <t>Noriega, Francisco Martínez</t>
  </si>
  <si>
    <t>Francisco Martínez Noriega</t>
  </si>
  <si>
    <t>…iguientes: En España. El gobierno de la plaza de Alhucemas á D. Antonio de Prados, teniente coronel graduado de infantería: la sargentía mayor de la de S. Sebastian de Guipúzcoa á D. Francisco Martínez Noriega, de la misma clase y arma: la ayudantía del castillo de Benasque á D. Josef Carrasco, alférez agregado al estado mayor de la plaza de Granada. También se sirvió S. M. conceder honores de comisario ordenador al tesorero del egército de Ceuta D. Josef del Gayo,…</t>
  </si>
  <si>
    <t>Noriega, Juan Antonio Díaz</t>
  </si>
  <si>
    <t>Juan Antonio Díaz Noriega</t>
  </si>
  <si>
    <t>…tepar. A las t 2 en punto del dia 22 del corriente mes de Marzo en la audiencia del Sr. D. Andrés Oiler, del Consejo de S M., alcalde de casa y corte, y escribanía de provincia de D. Juan Antonio Díaz Noriega, se procederá al rem ite de una ca sa sita en el Real sitio de Aranjuez, calle del Foso, núm. 4, manz. 28, frente á la huerta de Secano, que pertenece á los herederos de D. Narciso Roque Quintanilla, tasada en 261316 rs. 20 mrs. vn. todo lo construido en 1623…</t>
  </si>
  <si>
    <t>Noríega, Juan Antonio Diaz</t>
  </si>
  <si>
    <t>Juan Antonio Diaz Noríega</t>
  </si>
  <si>
    <t>…ía 15 de Abril próximo á las 12 en punto de su mañana en la audiencia del Sr. D. Andrés Oller, del Consejo de S. M., alcalde en su Real casa y corte, y es cribanía de provincia de D. Juan Antonio Diaz Noríega, que tendrá efecto siem pre que llegue la postura á cubrir las dos terceras partes de la tasa á metálico. El 13 de Abril del año de 1813, al pasar un convoy francés por el Real sitio del Pardo se desapareció Vicente Arroyo, de edad de 1 g años, rubio, y sus d…</t>
  </si>
  <si>
    <t>…bre próximo á las 9 en punto de su mañana en la posada del Se ñor D. Andrés OUer, del Consejo de S. M., alcalde de casa y corte, en cuyo juz gado de provincia por la escribanía de D. Juan Antonio Díaz Noriega pende la testamentaría del expresado Albo, con el fin de que se avengan y traten de la so lución y pago de sus créditos, con los bienes existentes, y conforme al derecho que á cada uno asista; apercibidos que si no concurriesen por sí ó procurador conocido, l…</t>
  </si>
  <si>
    <t>Noserct, Luis</t>
  </si>
  <si>
    <t>Luis Noserct</t>
  </si>
  <si>
    <t>…ería de Dávila, calle de las Carretas. Estampa nueva del glorioso S. Isidro Labrador, patrón de Madrid, dibujada por D. Antonio Guerrero, y.grabada en cuartilla de marca mayor por D. Luis Noserct* So hallará á g rs. en el almacén de estampas de la calle Mayor, frente á la casa del conde de Oñatc, . • r, EN LA IMPRENTA REAL.</t>
  </si>
  <si>
    <t>Novoa, Antonio Castro y</t>
  </si>
  <si>
    <t>Antonio Castro y Novoa</t>
  </si>
  <si>
    <t>…r dicha plaza dirigirá su memorial por Trugillo y Guadalupe al secretarlo de ayuntamiento de la misma villa, adviniendo debe ir franco de porte. Se desea saber de la existencia de D. Antonio Castro y Novoa , hijo de D. Ber nardo y Doña María Novoa, soldado que fue en la Real armada en la 5.a com pañía del 6° batallón, en el departamento de Cartagena, en donde fue licenciado por enfermo en 1796; y se suplica á quien tenga noticia de su paradero se sirva comunica…</t>
  </si>
  <si>
    <t>Novoa, María</t>
  </si>
  <si>
    <t>María Novoa</t>
  </si>
  <si>
    <t>…uadalupe al secretarlo de ayuntamiento de la misma villa, adviniendo debe ir franco de porte. Se desea saber de la existencia de D. Antonio Castro y Novoa , hijo de D. Ber nardo y Doña María Novoa, soldado que fue en la Real armada en la 5.a com pañía del 6° batallón, en el departamento de Cartagena, en donde fue licenciado por enfermo en 1796; y se suplica á quien tenga noticia de su paradero se sirva comunicarlo á D. Andrés Gutiérrez, procurador de l…</t>
  </si>
  <si>
    <t>Nugent</t>
  </si>
  <si>
    <t>…moden, que se hallaba de vuelta de Varsovia, donde había tenido la comisión de cumplimentar de parte de su Soberano al Emperador Alejandro, y parece pasa á Ñapóles á reemplazar al general Nugent en el mando de las tropas austríacas. Se habla también de la próxima publicación de un reglamento que deter mine los grados y honores que deben gozar los empleados militares y civiles en la monarquía prusiana. El ministro francés cerca de S. M. prusiana no ha…</t>
  </si>
  <si>
    <t>…veces desde ayer acá á sa ber del estado de su salud. Es indudable que el conde de Walmoden pasará á tomar el mando de las tropas austríacas en el reino de Nápoles. Parece que el general Nugent tendrá la dignidad suprema militar en el egército napolitano. Al concederle su dimisión del mando del egército austríaco, el Emperador de Austria le ha conferido la gran placa de la orden de la corona de Hierro. Se asegura que se ha variado el plan de viage d…</t>
  </si>
  <si>
    <t>N*m. [ f cuartos. ] *l3 GACETA DE MADRID DEL SABADO 22 DE FEBRERO DE 1817. ITALIA. Ñapóles 16 de Enero. El general conde Nugent, que ha pasado al servicio del Rey, ha entre gado ya el mando de las tropas austríacas al general barón de Lauer interi namente hasta la llegada del conde de Walmoden, á quien se espera aquí para el mes próximo. Hace algunos dias se halla en esta capital el P…</t>
  </si>
  <si>
    <t>Nuñez, Eugenia García</t>
  </si>
  <si>
    <t>Eugenia García Nuñez</t>
  </si>
  <si>
    <t>…destino de D. Isidro Mendoza, natural de Salamanca, y veci no de Madrid, hijo de D. Ramón y de Doña María Francisca Peraira, que casó en la Membrilla, provincia de la Mancha, con Doña Eugenia García Nuñez, y salló de la Coruña en el año de 1811 con dirección á Granada, tendrá la bondad de no ticiarlo al cura párroco del mismo pueblo de la Membrilla. Nota. En la gaceta anterior, pág. 7i8,lín. 31, donde dice Montujar% léase Montufar; y en la pág. 720, lín. 23, e…</t>
  </si>
  <si>
    <t>Nuñez, Joaquín</t>
  </si>
  <si>
    <t>Joaquín Nuñez</t>
  </si>
  <si>
    <t>…io Bobadilla y D. Joa quín Arzamendi, ai cadete del mismo, que me servía de ayudante, D. Juan Lagos, al subteniente D. Juan Morilla, de ía partida de España, al alférez de húsares D. Joaquín Nuñez, al cadete de caballería ligera D. Bernardo Franco, que también hacia de mi ayudante, á los sargentos Narciso Otero, de la partida de España, D. Josef Martínez, de húsares, y Cornelio Nieves, de lanceros , asi como á los soldados del fijo Trinidad Reina, Fran…</t>
  </si>
  <si>
    <t>Nuñez, Juan Josef Cheri y</t>
  </si>
  <si>
    <t>Juan Josef Cheri y Nuñez</t>
  </si>
  <si>
    <t>…provincia, á fin de que obre los efectos que se indican. Madrid ó de Setiembre de 1817. El Rey nuestro Señor se ha servido nombrar, á consultas del Consejo Real de las Ordenes, á D. Juan Josef Cheri y Nuñez para la vara de alcal de mayor del gobierno de la villa de Alcántara, vacante por haber cumplido su sexenio D. Cristóbal González Doñelfb; y para la del Corra! de A ¡maguer, que lo está por promoción de D. Francisco de Rivas á la de Torana y Ale do, á D. Luis…</t>
  </si>
  <si>
    <t>Nuñez, Pedro</t>
  </si>
  <si>
    <t>Pedro Nuñez</t>
  </si>
  <si>
    <t>…andante Josef Flores, y de los capitanes Pedro Asensio y Felipe Ruiz. Con la advertencia referida dispuse que de los 20 hombres que vmd. me proporcionó tomase el cabo de realistas D. Pedro Nuñez con ocho hombres la bóveda de la iglesia de este pueblo inmediato á dicho trapiche, y con los restantes me mantuve en la torre. Se me presenta ron con la algazara que acostumbran, echaron pie á tierra, y nos estuvieron haciendo fuego hora y media. Los valient…</t>
  </si>
  <si>
    <t>O-Donell</t>
  </si>
  <si>
    <t>…o ha ido á palacio ni tampoco ha visto nuestros esta blecimientos públicos; solamente se ha presentado en el teatro de la puerta de Carintia, donde fue acompañada del gentilhombre conde O-Donell. Se ase gura que los archiduques Juan, Antonio,Ranerio y Carlos fueron á visitarla de secreto. El Emperador envió á cumplimentarla á su sumiller de corps conde de Wrbna, y también la ha visitado el príncipe de Metternieh. Nada se sabe sobre sus proyectos ulte…</t>
  </si>
  <si>
    <t>O-Donell, Carlos</t>
  </si>
  <si>
    <t>Carlos O-Donell</t>
  </si>
  <si>
    <t>…s y demás individuos del cuerpo porque llega se el feliz momento de disfrutar de la amable presencia de SS. MM. y AA., cumplimentándoles también el capitán general de la provincia D. Carlos O-Donell, el ayuntamiento, el reverendo obispo, é intendente de Segovia. El siguiente dia esperó á SS. MM. y AA. á competente distancia de Sego via el mismo gefe superior del Real cuerpo de Artillería con el capitán gene ral y el subinspector, saludándoles con triple…</t>
  </si>
  <si>
    <t>O-Donojú, Juan</t>
  </si>
  <si>
    <t>Juan O-Donojú</t>
  </si>
  <si>
    <t>…plimiento.” Y la Dirección la traslada á V. para que disponga su cumplimiento en la parte que le toca. Madrid 13 de Octubre de 1817. Circular del Ministerio de Guerra. El teniente general D. Juan O-Donojú acudió al Rey nuestro Señor pi diendo que el expediente que se le había formado por la comisión de causas de Estado en averiguación de la conducta política que observó en el tiempo que tuvo á su cargo el ministerio de la Guerra, juntamente con losdocwmentos d…</t>
  </si>
  <si>
    <t>O-Donojú, Tomas</t>
  </si>
  <si>
    <t>Tomas O-Donojú</t>
  </si>
  <si>
    <t>…e S. Hermenegildo á los tenientes generales D. Juan Carra fa , D. Juan Carlos de Areizaga, y conde de S. Agustín de Torohermoso; á los mariscales de campo D. Pedro Ruiz de Torras, D. Tomas O-Donojú, D. Alvaro Chacón y D. Manuel Ladrón de Guevara, y al gefe de escuadra de la Real armada D. JoaquiiLde Molina, en atención á sus constantes ser vicios y mérito. El R ey nuestro Señor, á consulta del supremo Consejo de Hacienda y Junta general de Comercio y Mo…</t>
  </si>
  <si>
    <t>O-R</t>
  </si>
  <si>
    <t>…cerca de Bartolo á Cachimayo, en donde supo que la villa tenia mucha guarnición, y entonces deliberó dirigirse á Charcas, que la tenia muy corta. De este modo logró deslumbrar al brigadier O-R eilly y á los espías y fuerza de 40 hombres bien montados, que el gobernador de Potosí conde de Casa Real tenia destinados en un punto ventajoso, con el objeto de velar so bre sus operaciones, y marchó hácia esta ciudad, sin que su Gobierno lo su piese hasta…</t>
  </si>
  <si>
    <t>O-Reilly</t>
  </si>
  <si>
    <t>…os y equipados, y ocho cargas de municiones, con dirección á las provincias de Potosí y Charcas. Llegó al rio de S. Juan , jurisdicción de Cinti, donde entretuvo á la división del brigadier O-Reilly, y dejándole para alucinarle varias partidas de cabe cillas del país y alguna gente suya, con el resto tomó el camino de Culpina á salir á Maraca, y de allí por cerca de Bartolo á Cachimayo, en donde supo que la villa tenia mucha guarnición, y entonces delibe…</t>
  </si>
  <si>
    <t>…gualmente en esta ciudad la división auxiliar de Potosí, á las órdenes del coronel Rolando, con 700 hombres , ade mas de 80 reclutas y 2 piezas de á 4; y el 31 por la tarde la del brigadier O-Reilly con 500 hombres y un cañón. La Madrid pasó á Tarabuco, donde se ha reunido con los muchos cau dillos déla provincia, ha escogido la mejor gente de estos, á quienes está dis ciplinando, y reponiendo su caballería, y parece cierto tiene ya en el dia i® fusiles…</t>
  </si>
  <si>
    <t>Obispo</t>
  </si>
  <si>
    <t>…s que se han pre sentado. . Se desea saber el paradero de D. Luis Capdevila, que se separo de esta corte al principio de la revolución, y en el año de 812 servia á las órdenes del general Obispo; y se suplica á la persona que pueda dar alguna noticia lo haga en Madrid á Doña Elena Doria, calle de Mira el Rio, núm. 5 ; á D. Josef Ciavijo y Alba, calle de Capellanes, núm. 3 , y en .Barcelona á D. Antonio S. Germán , catedrático de cirugía médica, ó á D…</t>
  </si>
  <si>
    <t>Oca, Onofre Montes de</t>
  </si>
  <si>
    <t>Onofre Montes de Oca</t>
  </si>
  <si>
    <t>12l8 ros D. Onofre Montes de Oca, comandante de la Antigua, lo que sigue: ,, A cargo del sargento de realistas Hermenegildo Vela pasa á esa plaza un convoy que casualmente se lia reunido como de 250 bestias“de carga, es coltado con 10 realistas de este punto por convenio que estos han tenido…</t>
  </si>
  <si>
    <t>Ocampo, Mateo</t>
  </si>
  <si>
    <t>Mateo Ocampo</t>
  </si>
  <si>
    <t>…ciales que han probado cuan justa era la opinión que se tenia de ellos: son el teniente de navio D. Rafael la Iglesia , comandante del bergantín Intrépido, y el alférez de fragata D. Mateo Ocampo, comandante de la goleta Rita. Siete goletas de mucha fuerza, al mando del almirante pirata Brion, los ata caron. El combate fue obstinado y sangriento, y solo el número pudo triun far. Ambos comandantes perecieron en él, é Iglesia defendió varios abordages,…</t>
  </si>
  <si>
    <t>Ochoa, Feliciano de</t>
  </si>
  <si>
    <t>Feliciano de Ochoa</t>
  </si>
  <si>
    <t>…os 12 vales Reales, cuyas creaciones, números y nombres son los siguientes: de 300 pesos de i.° de Setiembre de 1807, núms. 17340, 20398 y 20776 D. Pedro Noiasco Castañares: 20935 D. Feliciano de Ochoa: 22806 D. Pedro Ormaechea: 22900 D. Gabriel Aragón; y 63835 y 66225 D. Manuel Callejo de Alba: de 600 pesos de i.° de Mayo de 1808, núms. 391730 Doña Catalina Gómez; y 412136 D. Julián Diaz: de 300 pesos de idem, niims. 477420 y 476798 Doña María Ignacia Gala…</t>
  </si>
  <si>
    <t>Ochoa, Francisco Xavier de</t>
  </si>
  <si>
    <t>Francisco Xavier de Ochoa</t>
  </si>
  <si>
    <t>…legitimidad de los créditos reclamados hasta el dia, y fijar las ba ses para su pago. Los interesados en ellos se servirán concurrir al anochecer de dicho día á la habitación del Sr. D. Francisco Xavier de Ochoa, decano del Con ejo Supremo de las Ordenes, y Presidente de dicha Real junta, que vive plazuela de Barajas casa del Sr. conde de Fernan-Xuñez; en el con cepto de que á los que no concurriesen por sí ó por medio de sus represen tantes les seguirá el perjuicio…</t>
  </si>
  <si>
    <t>Ocio, Leandro de</t>
  </si>
  <si>
    <t>Leandro de Ocio</t>
  </si>
  <si>
    <t>…mbre de la ciudad de Sto. Domingo de la Calzada , Don Francisco María Campuzano, regidor perpetuo de ella; D. Joaquín de Cam^ puzano, oficial de la primera secretaría de Estado, y D. Leandro de Ocio, de la de Marina; el primero de los cuales dijo lo siguiente: ,, Señor: La ciudad de Sto. Domingo de la Calzada, egemplo siempre de sumisión y de amor hacia la augusta persona de V. M., despliega de nuevo estos leales y afectuosos sentimientos con motivo del…</t>
  </si>
  <si>
    <t>Octavio, Diego</t>
  </si>
  <si>
    <t>Diego Octavio</t>
  </si>
  <si>
    <t>…de la de Seu de Urgei al subteniente D. Antonio Martos, sargento primero del regimiento de infantería de América; y la capitanía de llaves de Valencia de Alcántara al subteniente D. Diego Octavio, sargento primero de la compañía de inválidos hábiles de la misma plaza. A D. Josef Hernández, capitán de infantería de milicias de la villa de Puerto Príncipe, isla de Cuba, le ha concedido S. M. su Real permiso para usar la condecoración de la ñor de Lis co…</t>
  </si>
  <si>
    <t>Oertzen</t>
  </si>
  <si>
    <t>…go ip de Octubre. Escriben de Mecklenburgo que en virtud de una conferencia que han te nido últimamente los dos ministros de Brandestein y de Plessen por Mecklenburgo-Schwerin, el ministro Oertzen por Mecklenburgo-Strelitz, y una di putación de los Estados de los dos grandes ducados, se ha tomado una reso lución que ha sido sancionada por los dos grandes duques. Redúcese á que desde ahora y para siempre ningún judío pueda comprar casas, jardines ni tie…</t>
  </si>
  <si>
    <t>OFICIO, Josef Castro.’' ARTICULO DE</t>
  </si>
  <si>
    <t>Josef Castro.’' ARTICULO DE OFICIO</t>
  </si>
  <si>
    <t>…11 caballos y una yegua. ,,Dios guarde á V. muchos años. Valladolid y Noviembre 21 dei8i6.= Juan Josef Capistrano de Avila.r=Sr. sargento mayor y comandante interi no de las armas D. Josef Castro.’' ARTICULO DE OFICIO. Circular del Consejo Real. El Excmo. Sr. D. Juan Lozano de Torres, secretario de Estado y del Despacho de Gracia y Justicia , ha comunicado al Consejo, con fecha 15 de este mes, por medio del limo. Sr. decano la Real orden que dice asi: „Iimo. Sr.: El Sr. se…</t>
  </si>
  <si>
    <t>Oiañeta</t>
  </si>
  <si>
    <t>…an tenido un gran número de muertos y heridos en las diversas acciones y encuentros: se han recobrado 14 prisioneros de los que hicieron en Humahuaca; y según el parte dado por el brigadier Oiañeta, se hubiera conseguido poner en salvo á los demas, á no haber sabido los habian entregado á los indios infieles, y que Arias había dado orden los pasasen á cuchillo si nuestras tropas los per seguían. El escuadrón de húsares de Fernando vn habiéndose separado…</t>
  </si>
  <si>
    <t>Oíazabal, Juan Josef</t>
  </si>
  <si>
    <t>Juan Josef Oíazabal</t>
  </si>
  <si>
    <t>…estado mayor; y la de la Puebla de Sanabria á D. Pedro León, subteniente del regimiento infantería de Mallorca. En América. La subinspeccion general de las tropas de Gcatemala al brigadier D. Juan Josef Oíazabal: la comandancia del castillo de Jagua , de pendiente de la plaza de la Havana , á D. Joaquin Hurruitiner, capitán del regimiento infantería de Cuba; y Ja tenencia de Rey de la plaza de Panamá al teniente coronel D. Pedro Aguilar, gobernador que era de la prov…</t>
  </si>
  <si>
    <t>Oiier, Juan Villa y</t>
  </si>
  <si>
    <t>Juan Villa y Oiier</t>
  </si>
  <si>
    <t>…ardo Ascanio, difunto, vecino que fue de esta cor te, para que dentro del término de 15 dias, contados desde el 31 del próximo pasado, comparezcan ante dicho señor y escribanía de D. Juan Villa y Oiier por sí ó por medio de procuradores con poder bastante á deducir las acciones que los competa en los autos que en este juzgado se siguen por esta heroica villa contra los bienes del indicado difunto sobre pago de maravedises, procedentes de la recauda ción del…</t>
  </si>
  <si>
    <t>Oíiver, Fernando</t>
  </si>
  <si>
    <t>Fernando Oíiver</t>
  </si>
  <si>
    <t>…tres leguas de Ciudad-Real: su dotación son 6co ducados, cobrados por ter cios. Los pretendientes dirigirán sus memoriales en el término de 30 dias al secreta rio de ayuntamiento D. Fernando Oíiver. En la ciudad de Vitoria se halla vacante la plaza de cirujano de estuche, cuya dotación anual consiste en 4400 rs. vn. pagados de propios y arbitrios, y Ja iguala que haga con las comunidades eclesiásticas y vecinos particulares. Tiene obligación de asistir…</t>
  </si>
  <si>
    <t>Oiler, Andrés</t>
  </si>
  <si>
    <t>Andrés Oiler</t>
  </si>
  <si>
    <t>…s Reales ó á efectivo, ó bien á efectivo y vales, acudir án á la escribanía de D. Santiago de Estepar. A las t 2 en punto del dia 22 del corriente mes de Marzo en la audiencia del Sr. D. Andrés Oiler, del Consejo de S M., alcalde de casa y corte, y escribanía de provincia de D. Juan Antonio Díaz Noriega, se procederá al rem ite de una ca sa sita en el Real sitio de Aranjuez, calle del Foso, núm. 4, manz. 28, frente á la huerta de Secano, que pertenece á l…</t>
  </si>
  <si>
    <t>Ojangurcn, Juan Josef de</t>
  </si>
  <si>
    <t>Juan Josef de Ojangurcn</t>
  </si>
  <si>
    <t>…y 341073, que fueron endosados í D. Antonio Cos, del comercio de Sevilla, á quien se dirigieron para su renovación por medio de D. Agustín Miret, y en el día los tiene reclamados D. Juan Josef de Ojangurcn, á quien parece pertenecen, en el juzgado del Sr. D. Joaquín Almazan, teniente corregidor de esta muy heroica villa, y escribanía del número de D. Clau dio Sanz, se presentarán en el mismo juzgado y escribanía á deducir los documen tos que acredíten su perten…</t>
  </si>
  <si>
    <t>Ojeda, Francisco Xavier de</t>
  </si>
  <si>
    <t>Francisco Xavier de Ojeda</t>
  </si>
  <si>
    <t>520</t>
  </si>
  <si>
    <t>…l re mate , siendo arregladas. A consecuencia de decreto de 16 del corriente de los Señores de la junta supre ma de Apelaciones de la Real casa y patrimonio, y por providencia del Sr. Don Francisco Xavier de Ojeda, del Consejo de S. M. en el supremo de Hacienda, juez asesor genera! de dicha Real casa y patrimonio, refrendada de D. Alfonso del Po zo, escribano de S. M., sus Reales caballerizas y demas ramos agregados, se ha mandado se vuelva á pregonar por otros 8 días…</t>
  </si>
  <si>
    <t>…na, y hecho su pérdi da muy sensible á las corporaciones que animaba y á todos los pobres de quienes era el consuelo y las delicias. En virtud de providencia de g i del pasado del Sr. D. Francisco Xavier de Ojeda , del Consejo de S. M. en el supremo de Hacienda, juez asesor general de la Real casa y patrimonio, refrendada de D. Alfonso del Pozo, escribano del ilustre cole gio de esta corte, y del juzgado de Reales caballerizas y demas ramos agregados, se venden un mac…</t>
  </si>
  <si>
    <t>…ere hacer postura á ella acuda ante el citado señor juez y escribanía dentro de dicho término, que se admitirán las que se hicieren siendo arregladas. En virtud de providencia del Sr. D. Francisco Xavier de Ojeda,del Consejo de S. M. en el de Hacienda, juez asesor de la Real casa y patrimonio, se cita, llama y emplaza á todas y cualesquier personas que puedan tener derecho á los bienes que dados por el fallecimiento abintestato de Juan Gudin , palafrenero que fue de S…</t>
  </si>
  <si>
    <t>872 Sr. D. Francisco Xavier de Ojeda, del Consejo de S. M. en el supremo de Hacien da, juez asesor general de la Real casa y patrimonio, y escribanía de Reales caba* llerizas al cargóle D. Alfonso del Pozo , en los cuales, y en 13 del corriente, se ha mandado entre otras cosas que se anuncie al…</t>
  </si>
  <si>
    <t>…con la correspondencia de oficio y pública para todos los puntos de las Américas. Lo que Se avisa ál público para su inteligencia á los fines que le convengan. Por providencia del Sr. D. Francisco Xavier de Ojeda, del Consejo de S. M. en el supremo de Hacienda, juez asesor general de su Real casa y patrimonio, su fecha 10 del corriente, refrendada de D. Alfonso del Pozo, escribano de S. M. y del juzgado de Reales caballerizas y demas ramos agregados, se ha señalado pa…</t>
  </si>
  <si>
    <t>…ctivamente juzguen hallarse asistidos; con apercibimiento que pasado dicho tér mino sin hacerlo les parará el perjuicio que haya lugar Por providencia de 6 de Setiembre último del Sr. D. Francisco Xavier de Ojeda, del Consejo de S. M. en el supremo de Hacienda, juez asesor general de la Real Casa y Patrimonio, refrendada de D. Alfonso del Pozo, escribano de S. M. y del juzgado de sus Reales caballerizas y demas ramos agregados, y para pago de acreedores, se vende una…</t>
  </si>
  <si>
    <t>…rior en el tribu nal de la misma; y presentádose por el D. Andrés en 13 del que rige pedimento, haciendo por él nuevas proposiciones, se ha acordado en providencia de este día del Sr. D. Francisco Xavier de Ojeda, del Consejo de S. M. en el supremo de Hacien da, juez asesor general de dicha Real casa y patrimonio, refrendada de D. Alfon so del Pozo, escribano de S. M., sus Reales caballerizas y demas ramos agregados, se hagan saber dichas proposiciones á los indicados…</t>
  </si>
  <si>
    <t>…'corte , y sü calle de Kortaleza, num; 3, manz 304, el dia 22 del corriente mes á las doce de la mañana en la audiencia de dicho señor juez. Por providencia de 5 del corriente del Sr. D. Francisco Xavier de Ojeda, delConsejo de S. M. en el supremo de Hacienda, juez asesor general de la Real casay y patrimonio, refrendada de D. Alfonso del Pozo, escribano de S. M., sus Reales, caballerizas y demás ramos agregados, y para pago de acreedores ,• se vende una casa' sita en…</t>
  </si>
  <si>
    <t>Ojero, Ignacio</t>
  </si>
  <si>
    <t>Ignacio Ojero</t>
  </si>
  <si>
    <t>…Movilla, D. Bernardo Huelga, D. Esteban Blanco, D. Miguel Alonrso, D. Cesáreo Viguera, D. Miguel Chana, D. Antonio Castro, D. Toribio González, D. Santiago Alonso, D. Tomas Pardo, D. Ignacio Ojero, Don Fernando Movilla, D. Manuel Gómez, D. Francisco Rodriguez, D. Alvaro Chaves, D. Fernando García, D. Bernardino Lorenzo y D. Luis de León. El R. P. prior de Sto. Domingo demostró en un discurso que sin la reliion, virtud y buena educación no bastan las le…</t>
  </si>
  <si>
    <t>Olaguivel, Tomas</t>
  </si>
  <si>
    <t>Tomas Olaguivel</t>
  </si>
  <si>
    <t>…7 del corriente entró en este puerto, apresado por los corsarios de esta regencia so bre cubo de Palos, un bergantín español nombrado la.Magdalena de la ma trícula del Carril, su capitán D. Tomas Olaguivel, procedente de Muro&lt; para Salou, con 124 botas de sardina prensada. El dia 8, también apresado sobre Cartagena, entró el londro nuestra Señora del Carmen , de la matrícula de Mataró , su capitán Juan París, procedente de Brandrell para Cádiz, con ioy botas de…</t>
  </si>
  <si>
    <t>Olañeta</t>
  </si>
  <si>
    <t>…la Serna. = Exctno. Sr. virey del Perú.” 2.0 ,, Exorno. Sr.: Las tres expediciones que hice salir en persecución de los enemigos que sorprendieron á Humahuaca, la una al mando del brigadier Olañeta, que debía ir por S. Pedro; la otra al mando del coronel Marquiegui, que debía verificarlo por Sta. Barbara, y la tercera al mando del coro nel Centeno por Humahuaca , todas con dirección á Oran, que era el punto adonde se sabia dirigía el enemigo su presa, h…</t>
  </si>
  <si>
    <t>1202</t>
  </si>
  <si>
    <t>…endia la partida del cau dillo Corte, que según noticias tenia su campamento en los bajos de Palpalá, y de que viese de adquirir noticias en Sapla relativas al camino que traía el brigadier Olañeta con su división para auxiliarle, pues se decia habían salido gruesas partidas á atacarle. La sorpresa de Corte se verificó completamente, pues se fueron tomando sucesivamente las avanzadas , y los prisioneros que hicieron condujeron nuestras tropas al campame…</t>
  </si>
  <si>
    <t>Olañeta, Josef Mariano de</t>
  </si>
  <si>
    <t>Josef Mariano de Olañeta</t>
  </si>
  <si>
    <t>…de Noviembre último se ha servido S. M. permitir el uso de la decoración de Lis, de que les hizo merced S. M. Cristianísima en recompensa de su fidelidad y buena comportacion , á D. Josef Mariano de Olañeta, doctor en ambas facultades tn la ciudad del Cuzco; á D. Juan Jo sef de Olañeta , capitán del regimiento infantería de Abaacai, y á D. Josef Antonio de Gandarias, regidor del ay untamiento de la ciudad de la Plata, en el vireinaro del Perú. Al tiempo de haber…</t>
  </si>
  <si>
    <t>Olavarri, Francisco</t>
  </si>
  <si>
    <t>Francisco Olavarri</t>
  </si>
  <si>
    <t>…D. Josef María Za mora , quien inmediatamente que le di orden avanzó al frente de la infantería, sin dar lugar á que los rebeldes hubieran cogido las armas, como al de igual clase D. Francisco Olavarri, que avanzó con la caballería hasta echarlos á lo profundo de una barranca, y asimismo á la tropa que he tenido el honor de mandar. ,,Dios guarde á vmd. muchos años. Olomatlan Marzo 5 de 1817. = Gaspar García. = Sr. teniente coronel D. Antonio Fion.” Sevilla…</t>
  </si>
  <si>
    <t>Olavarriaá, Segundo de</t>
  </si>
  <si>
    <t>Segundo de Olavarriaá</t>
  </si>
  <si>
    <t>…pe de la Puente, D. Miteo Regil, D. Jorge de Urioste, D. Juan de Murrieta y D. Ildefonso de Llano á los 20 meses: D. Anto nio de Calera á los 16: D. Juan de Arredondo á los 14 ; y D. Segundo de Olavarriaá los 22 , sin contar otros tres , que también instruidos como estos, yen igual tiempo, habían salido antes á seguir su destino. Madrid (&gt; de Enero. Al paso de S. M. la Reina nuestra Señora y su augusta hermana la Serma. Sra. Infanta Doña María Francisca de Así…</t>
  </si>
  <si>
    <t>Olazabal, Juan Josef</t>
  </si>
  <si>
    <t>Juan Josef Olazabal</t>
  </si>
  <si>
    <t>…Indias D. Josef Aicinena, Comendadores Al mariscal de campo D. Josef María Jalón; á los brigadieres marques de Sta. Cruz de Rivadulla; D. Pedro de la Cuesta; D. Ciríaco de Llano; D. Juan Josef Olazabal; á D. Juan Hernández de Alba, oidor de la au diencia de Puerto-Príncipe; D. Martin Gil y Garcés, deán de la catedral de Valladolid de Mechoacan; al capitán de navio D. Juan Jacinto de Vargas; D. Antonio Julián Alvarez, oidor de la audiencia de Puerto-Príncipe…</t>
  </si>
  <si>
    <t>Olciñeta</t>
  </si>
  <si>
    <t>…la columna , y solo las.guerrillas bastaron para despejar el campo. Al anochecer ya estaba nuestra división en las .Capillas; y habiendo sabido que aquel mismo dia había salido el brigadier Olciñeta con la de su mando para mi cuartel general, permaneció el dia siguiente con el objeto de sacar ganado, lo que en efecto verificó en el número de 300 reses, regresando con ellas á este mi cuartel general. ,,Todo lo que tengo la satisfacción de comunicar á V, E…</t>
  </si>
  <si>
    <t>Olier, Juan Villa y</t>
  </si>
  <si>
    <t>Juan Villa y Olier</t>
  </si>
  <si>
    <t>…la casa habitación del Sr. D. Saturnino Segovia, administrador de la citada Real casa de Campo, que vive costanilla de Capuchinos de la Paciencia, ó á la escribanía del número de D. Juan Villa y Olier, sita dentro de las casas consis toriales de esta heroica villa, donde se íes instruirá de las condiciones, bajo de las cuales se formaliza este arrendamiento, para que con pleno conocimiento puedan presentar sus pliegos de proposiciones en el término de 1 5…</t>
  </si>
  <si>
    <t>Olini</t>
  </si>
  <si>
    <t>…ría, al que asistieron el metropoli tano y muchas personas de ambos sexos. Por la noche hubo iluminación general. TIROL. Inspruck 2/ de Enero. La gaceta de Clagenfurth dice que el coronel Olini pasó por aquella ciu dad, y que fue seguido por el general Pignatelli. Ambos llevaban una escol ta numerosa que los conducia al castillo de Josephstall, en Bohemia. ALEMANIA. Lnbeck 2 j de Enero. La diputación de Noruega debe partir de Cristiania para Stockol…</t>
  </si>
  <si>
    <t>Olive, Josef Felipe</t>
  </si>
  <si>
    <t>Josef Felipe Olive</t>
  </si>
  <si>
    <t>…dose retirado en se guida á trasladarlo en caracteres comunes á presencia de tres socios, leyó en tre tanto por espacio de 40 minutos el socio protector del mismo estableci miento D. Josef Felipe Olive un discurso, en el cual, después de haber ex puesto la historia general de las sociedades económicas desde su establecimien to ,y expresado por mayorías ventajas que han acarreado al estado, hacien do al paso el elogio de los Excmos. Sres. condes de Campománe…</t>
  </si>
  <si>
    <t>…que ofre cieron el Excmo. Sr. director, las Sras. de la junta de Damas unidas á la so ciedad marquesa de Canillejas y Sra. Doña María de la Soledad Moreno de Bodega, y los socios D. Josef Felipe Olive y D. Federico Moreti, no habiendo habido lugar á admitir dos mas que ofrecieron los socios D. Josef María Ce las y D. Mariano Vallejo, con lo cual se procedió solo al sorteo del primer premio, que cupo en suerte al discípulo D. Ignacio Clemente. Después de esto el Excmo. Sr. dire…</t>
  </si>
  <si>
    <t>Oller, Andrés</t>
  </si>
  <si>
    <t>Andrés Oller</t>
  </si>
  <si>
    <t>…publico por medio de la gaceta, á fin de que puedan contar con este beneficio y comodidad los que viajaren por las inmediaciones de su Real Sitio de Aran juez. Por providencia del Sr. D. Andrés Oller, del Consejo de S. M., alcalde de ca sa r corte, dada á instancia de los herederos de D. Narciso Roque Quintanilla, se hamacado á pública subasta por 20 dias precisos primeros Siguientes a! en que se anuncie per gaceta, una casa en el Real sitio de Aranjuez e…</t>
  </si>
  <si>
    <t>…sitio, sin in cluir el valor de esta, por pertenecer á S. M. su terreno, se ha vuelto á señalar pa ra el día 15 de Abril próximo á las 12 en punto de su mañana en la audiencia del Sr. D. Andrés Oller, del Consejo de S. M., alcalde en su Real casa y corte, y es cribanía de provincia de D. Juan Antonio Diaz Noríega, que tendrá efecto siem pre que llegue la postura á cubrir las dos terceras partes de la tasa á metálico. El 13 de Abril del año de 1813, al pas…</t>
  </si>
  <si>
    <t>…,manz. 300, planta baja, para que dentro de 30 dias, contados desde el en que se anuncie por gaceta, comparezca por sí, ó por procurador conocido, en la audiencia de provincia del Sr. D. Andrés Oller, del Consejo de S. M., alcalde de Casa y Corle, á deducir lo que á su derecho convenga en las instancias que se han hecho por varios sugetos, reclamando los bienes que se han encontrado en dicha habitación con motivo de su ausencia, por decir unos que son de…</t>
  </si>
  <si>
    <t>…lbo y Elguero mas de un corto número de ellos, por cuyo motivo no quedaron ventilados los diferentes puntos pendientes en la celebrada el domingo 14 del corriente, ha dispuesto el Sr. D. Andrés Oller, del Consejo de S. M., alcalde de casa y corte, que se reúnan en su posada en igual dia 5 de Octu bre próximo á las nueve en punto de su mañana, citándoles por medio de este pe riódico, mediante á que no se sabe de la existencia de la mayor parte de ellos, si…</t>
  </si>
  <si>
    <t>Olmedo, Ana</t>
  </si>
  <si>
    <t>Ana Olmedo</t>
  </si>
  <si>
    <t>…tonio Martínez. Idem de J'OO de la misma creación. Números 17724, 38184,38356, 41572,60631,60957, 66187 y 66662, endosados á favor del anterior: números 56457 y 62141 , ídem al de Doña Ana Olmedo. Idem de 6 00 de la dicha creación. Números 6203, 6322, 136021 y 136022 , endosados á favor de D. Antonio Martínez: número 8005 , ídem al de Doña Ana Olmedo. Los que tengan derecho á dichos vales acudirán á la misma dirección general, en donde haciendo consta…</t>
  </si>
  <si>
    <t>Olmo, Josef Antonio del</t>
  </si>
  <si>
    <t>Josef Antonio del Olmo</t>
  </si>
  <si>
    <t>…derecho á la percepción de ciertos créditos manifestados por un papel reservado en la ciudad de Chinchilla; y en el caso de acreditarse ser herederos de ambos sugetos, acudirán á D. Josef Antonio del Olmo en la misma ciudad de Chinchilla, quien les dará las instrucciones competentes. Summa concilíorum Hispaniae quotquot invenir! potuerunt ad usque saeculum proxime praeteritum, epistolarum ad hispanos cum earum delectu, notis, novisque dissertationibus adornata…</t>
  </si>
  <si>
    <t>Olmo, Manuel Vela y</t>
  </si>
  <si>
    <t>Manuel Vela y Olmo</t>
  </si>
  <si>
    <t>…ía de Campo,calle de Alcalá. El alma al pie del calvarlo considerando los tormentes de Jesucristo, y hallando al pie de la cruz el consuelo de sus penas: traducido del francés por D. Manuel Vela y Olmo, abogado del colegio de esta corte: 4.a edición: dos tomos en 8.° Se hallarán á 20 rs. en pasta en la librería deNovilio, calle de la Concepción Gerónima. Reflexiones sobre la ortografía de la lengua castellana, y método de simplificar y fijar su escritura: u…</t>
  </si>
  <si>
    <t>Ondarza, Marcelo de</t>
  </si>
  <si>
    <t>Marcelo de Ondarza</t>
  </si>
  <si>
    <t>…ación, concurran cada uno por su parte en lo que le toca á que tenga exacta observancia: que asi es mi voluntad se egecute. Dada en Palacio á 18 de Marzo de 1817.= YO EL REY. = Yo D. Marcelo de Ondarza, Secretario del Rey nuestro Señor, lo hice escribir por su mandado. = El Almirante ‘Duque de Veragua.c=D. Víctor Rascón. = D. Josef Martínez de Bustos. = D. Francisco Sánchez Gadeo. El Rey se ha servido promover á gefe de escuela en el departamento de Artille…</t>
  </si>
  <si>
    <t>Onis, Luis de</t>
  </si>
  <si>
    <t>Luis de Onis</t>
  </si>
  <si>
    <t>…tal; dándome aviso del recibo para po nerlo en su superior noticia. Dios guarde á V. muchos años. Madrid 19 de Junio de 1817. En atención á los distinguidos servicios y méritos de D. Luis de Onis se ha dignado el Rey concederle la gran cruz de la Reai orden americana de Isabel la Católica. Atendiendo el Rey nuestro Señor á la importancia de las facultades de medicina, cirugía y farmacia, y á que para su exacto desempeño se requie re la reunión de vast…</t>
  </si>
  <si>
    <t>…ua potable, y los demas que antes se suministraban. Madrid 2 de Julio. ARTICULO DE OFICIO.. El ministro de Negocios extrangeros de los Estados-Unidos ha comuni cado oficialmente á D. Luis de Onis la siguiente copia del acta del congreso para mantener con mayor eficacia Jas relaciones neutrales de los Estados-Lhjfdos, pasada en 3 de Marzo de 1817. : „Se decreta por el senado y cuerpo de representantes de'los Es;¿dos-Umdos que cualquiera persona que den…</t>
  </si>
  <si>
    <t>Onís, Luis de</t>
  </si>
  <si>
    <t>Luis de Onís</t>
  </si>
  <si>
    <t>…n de que llegue á no ticia de todos: que asi es mi voluntad. Dado en Palacio á 8 de Noviembre de 1817.=YO EL REY. = Francisco de Eguía.” Con fecha de 17 de Agosto último participa D. Luis de Onís, ministro plenipotenciario de S. M. en los Estados-Unidos, que el cónsul del Rey en Norfolk ha reclamado y hecho embargar por cuenta de sus propietarios le gítimos la fragata mercante española la Providencia, apresada por el pirata Mongore en su navegación de…</t>
  </si>
  <si>
    <t>„Excmo. Sr.: Muy Sr. mío: Con esta fecha escribo al Excmo. Sr. Don Luis de Onís el oficio siguiente : ,, Excmo. Sr.: Tengo la particular satisfacción de confirmar á V. E. el pronóstico que en el oficio núm. 43 le anuncié sobre la total derrota del traidor Mina. Ayer domingo recibí una carta particular del capitán de fragata D. Antonio Pi…</t>
  </si>
  <si>
    <t>Ontiveros, Sebastian</t>
  </si>
  <si>
    <t>Sebastian Ontiveros</t>
  </si>
  <si>
    <t>…e la plaza de Alcántara, en Extremadura, ál coróne! Dort Josef Orive, capitán de Reales guardias de infantería Española: ¿1 de la villa de Gata, en la misma provincia, al teniente coronel D. Sebastian Ontiveros, capitán del regimiento provincial de Ciudad-Rodrigo: la ayudantía del cas tillo de la Mota de S. Sebastian de Guipúzcoa á D. Pedro Ruiz, subteniente del regimiento infantería de Asturias: la del de S. Felices, en Castilla la Vieja, á D. Silverio Castro, sarg…</t>
  </si>
  <si>
    <t>Óofon, Josef</t>
  </si>
  <si>
    <t>Josef Óofon</t>
  </si>
  <si>
    <t>…de Julio de 1817.” Circular del Consejo Real, Habiendo resuelto S. M. que el juzgado de imprentas se restableciese al ser y estado que tenia cuando se hallaba al cuidado del limo. Sr. D. Josef Óofon, se sirvió nombrar por su Reai resolución, circulada en 11 de No viembre de 1814, al Sr. D. Nicolás María de Sierra, ministro del Consejo, para que sirviese esta comisión en los mismos términos y con las propias fa cultades que sus antecesores; y ahora con mo…</t>
  </si>
  <si>
    <t>Oquendo, Mariano Lafuente y</t>
  </si>
  <si>
    <t>Mariano Lafuente y Oquendo</t>
  </si>
  <si>
    <t>…gidor, vicario general de los carmelitas calzados, los honores del Consejo de la suprema Inquisición. Por Real resolución, á consulta de la Cámara, se ha servido S. M. con ceder á D. Mariano Lafuente y Oquendo, teniente primero de asistente de li ciudad de Sevilla, los honores de alcalde de la Cuadra de aquella audiencia. Por Real resolución de S. M., á consulta del supremo Cdnséjo de Casti lla de 22 de Julio de este año , se ha servido concedes á la villa de Toral…</t>
  </si>
  <si>
    <t>Ordazgasti, Manuel</t>
  </si>
  <si>
    <t>Manuel Ordazgasti</t>
  </si>
  <si>
    <t>…clase de gramá tica latit a merecieron el pnmer premio en la clase de mayores D. Floren tino de T&lt; rre : en la de medianos D. Hilarión Barrenengoa el segundo, y en la de mi ñores D. Manuel Ordazgasti el tercero: en la de álgebra D. Juan Fuertes el primero, y D. Henrique Salazar el segundo: en la de aritmética el tercero D. Manuel Velasco : en la de dibujo y arquitectura D. Benito Campo el primero, D. Ramón Garrido el segundo, y D. Amtonio Msnglano el terc…</t>
  </si>
  <si>
    <t>Ordejon, Ignacio</t>
  </si>
  <si>
    <t>Ignacio Ordejon</t>
  </si>
  <si>
    <t>…estampa se rende-también suelta á 6 rs. Tom-Jones, ó el Expósito: novela compuesta en ingles por Mr. Henrique Fielding; traducida ál francés por Mr. La Place, y al castellano por D. Ignacio Ordejon. Esta novela merece uno de los primeros lugares en este género: la maestría con que pinta los caracteres, la variedad de estos, su contraste, la moral que reina en toda la obra, los grandes y útilísimos documentos para la vida , y la solidez de las reflexione…</t>
  </si>
  <si>
    <t>Ordoñez</t>
  </si>
  <si>
    <t>…sa de los Caballos Marzo 10 de 1817. = Excmo. Sr. = Cristóbal Ordoñez. = Excmo. Sr. virey D. Juan Ruiz de Anodaca.”____ i El Excmo. Sr. virey ha mandado dar las debidas gracias al Sr. Ordoñez y á los comandantes de las secciones, asi como á todos los demas oficiales y</t>
  </si>
  <si>
    <t>Ordoñez, Cristóbal</t>
  </si>
  <si>
    <t>Cristóbal Ordoñez</t>
  </si>
  <si>
    <t>…Marzo. Continuación de los partes de Nueva-España. TOMA DEL FUERTE DE SAN MIGUEL , CONOCIDO POR LA MESA DE LOS CABALLOS: IDEM DEL FUERTE Y PUEBLO DE SIL ACAYOAPAN. Obedeciendo el coronel D. Cristóbal Ordoñez lo que^previene el artícii-</t>
  </si>
  <si>
    <t>Ore</t>
  </si>
  <si>
    <t>…á un español que servia á los insurgentes. Cartagena después de un penoso sitio se entregó á discreción; y aunque habían sido allí asesinados los prisioneros de la expedición del general Ore, los habitantes en vez de castigo recibieron por espacio de un mes una sopa económica costeada por el egército, debiendo tan señalado beneficio á la cle mencia del vencedor. Durante el referido sitio fueron cogidos sucesivamente varios espías; se perdonó á lo…</t>
  </si>
  <si>
    <t>Orellana, Estéban Antonio de</t>
  </si>
  <si>
    <t>Estéban Antonio de Orellana</t>
  </si>
  <si>
    <t>En virtud de providencia del limo. Sr. D. Estéban Antonio de Orellana, del Consejo y Cámara de S. M. en el Real y supremo de la Guerra, superintendente general del Real fisco y penas de cámara del mismo, y asesor general del Real cuer po de Guardias de la Persona del Rey, y de todos los demas de la Real casa y su juzgado privil…</t>
  </si>
  <si>
    <t>…a Real. Se suscribe en dicho despacho, y en las provincias en todas las ad ministraciones principales y agregadas de correos. En virtud de providencia de 8 del corriente del limo, Sr. D. Estéban Antonio de Orellana, del Consejo y Cunara de S. M. en el Real y supremo de la Guerra, superintendente ¿ene al del Real tísco y penas de cámara del mismo, y asesor ge neral del Real cuerpo de ruardias de ia Persona del Rey, y de todos los demas de ia Real casa y su juzgado privil…</t>
  </si>
  <si>
    <t>…da ante dicho señor y escribanía de provincia de D. Valdomer© Moraleda, que se le admitirán las que hiciere siendo .arregladas. En virtud de providencia de 29 del pasado del limo. Sr. D. Estéban Antonio de Orellana, del Consejo y Cámara de S. M. en el Real y supremo de la Guerra, su perintendente general del Real fisco y penas de cámara del mismo, y asesor general del Real cuerpo de guardias de la Persona del Rey, y de todos los demas de la Real casa y su juzgado privil…</t>
  </si>
  <si>
    <t>Orellana, Esteban Antonio' de</t>
  </si>
  <si>
    <t>Esteban Antonio' de Orellana</t>
  </si>
  <si>
    <t>…el Real y Militar orden de la Merced , siendo su padrino el Excmo. Sr. duque de Híjar; á cuyo acto asistió toda la grandeza. En virtud de providencia de 17 del corriente del limo. Sr. D. Esteban Antonio' de Orellana, del Consejo y Cámara de S. M. en el Reí! y supremo de la Guerra, y asesor general de todos los cuerpos y tropas de casa Real y su juzgado privilegiado, se ha mandado citar, llamar y emplazar, como por el presente se cita , liana y em plaza , á todas y cuales…</t>
  </si>
  <si>
    <t>Orfila, Mateo</t>
  </si>
  <si>
    <t>Mateo Orfila</t>
  </si>
  <si>
    <t>…de la guardia nacional que estaba á sus órdenes, no fue esto bastante á impedir que se esparcieran siniestras noticias, y que se asegurase que era una verdadera invasión enemiga. D. Mateo Orfila, profesor español de química y medicina , residente en esta capital, y bien conocido por sus profundos conocimientos y por su tra tado sobre los venenos, lleno de sabias y nuevas investigaciones, acaba de publicar una nueva obra intitulada Elementos de químic…</t>
  </si>
  <si>
    <t>Orlando, Joaquín</t>
  </si>
  <si>
    <t>Joaquín Orlando</t>
  </si>
  <si>
    <t>…uez de Ribera su Real permiso para poder usar de la condecoración de la flor de Lis con que S. M. Cristianísima se ha dignado honrarle. Asimismo ha concedido S. M. igual permiso á D. Joaquín Orlando pa ra poder usar de igual distintivo con que le ha condecorado S. M. Cris tianísima. Por decreto de 30 del pasado de los Señores del Consejo se ha mandado pu-</t>
  </si>
  <si>
    <t>Ormaechea, Pedro</t>
  </si>
  <si>
    <t>Pedro Ormaechea</t>
  </si>
  <si>
    <t>…aciones, números y nombres son los siguientes: de 300 pesos de i.° de Setiembre de 1807, núms. 17340, 20398 y 20776 D. Pedro Noiasco Castañares: 20935 D. Feliciano de Ochoa: 22806 D. Pedro Ormaechea: 22900 D. Gabriel Aragón; y 63835 y 66225 D. Manuel Callejo de Alba: de 600 pesos de i.° de Mayo de 1808, núms. 391730 Doña Catalina Gómez; y 412136 D. Julián Diaz: de 300 pesos de idem, niims. 477420 y 476798 Doña María Ignacia Galarza; los cuales se hallan…</t>
  </si>
  <si>
    <t>Oromí, Josef</t>
  </si>
  <si>
    <t>Josef Oromí</t>
  </si>
  <si>
    <t>…scal del Consejo y Cámara , á JL&gt;. Francisco Martínez de Galinsoga, oidor decano de la audiencia de Extremadura: para la de oidor de la audiencia de Galicia, vacante por muerte ée D. Josef Oromí, á D. Pedro Antonio de Arroquia, oidor de la de Cataluña: para la vara de alcalde mayor teniente de corregidor mas moderno de esta muy heroica villa, vacante por ascenso de D. León de la Cámara Cano á la fiscalía del Almirantazgo , á D. Angel Fernandez de los…</t>
  </si>
  <si>
    <t>Orozco, Manuel</t>
  </si>
  <si>
    <t>Manuel Orozco</t>
  </si>
  <si>
    <t>…a ron á que continuasen haciéndose acreedores á la pública estimación para ser algún dia útiles al Rey y al estado, y dieron las gracias al expresado direc tor, al segundo maestro D. Manuel Orozco ,al tercero D. Juan de Dios Guer rero, y á los ayudantes por el zeloy exactitud con que desempeña cada uno sus deberes. Los jovenes que sobresalieron en todos Tos ramos fueron D. Demetrio Vasconi, D. Francisco Rodríguez Sánchez, D. Mariano Guerrero, D. Josef…</t>
  </si>
  <si>
    <t>Orozco, Simón</t>
  </si>
  <si>
    <t>Simón Orozco</t>
  </si>
  <si>
    <t>…ente coronel; Francisco Hernández ,soldado; Josef María Talavera, idern; Josef Rafael Huerta, alférez; Josef Ramón Bravo, administrador de alcabalas; Josef María Vídaña , alférez; D. Simón Orozco, ídem ; D. Antonio Tavera, ídem , y subdelegado del pueblo de Uruapan; Jo sef María Peñafíd, capitán ; Josef María Sabalza, sargento.</t>
  </si>
  <si>
    <t>Orrantia, Francisco de</t>
  </si>
  <si>
    <t>Francisco de Orrantia</t>
  </si>
  <si>
    <t>…es de la conspiración, y culpables en no haberla descu bierto. _ ESPAÑA. México 18 de Diciembre, El Excmo. Sr. virey ha recibido los partes siguientes * i.° Del comandante general coronel D. Francisco de Orrantia.</t>
  </si>
  <si>
    <t>Orruzar, Francisco de Durango y</t>
  </si>
  <si>
    <t>Francisco de Durango y Orruzar</t>
  </si>
  <si>
    <t>…to de la Serma. Sra. Infanta Doña María Isabel Luisa, el'Excmo. Sr. D. Juan Esteban Lozano de Tor res, regidor perpetuo de dicha ciudad; el marques de Valbuena, regidor bie nal, y D. Francisco de Durango y Orruzar, diputado extraordinario de la misma en esta corte; y el primero dijo: ,,Señor: La siempre noble y muy leal ciudad de Santander, capital de la provincia marítima de su nombre , y por ella la diputación especial de su ilustre ayuntamiento , que tiene el honor…</t>
  </si>
  <si>
    <t>Ortega, Josef Julián de</t>
  </si>
  <si>
    <t>Josef Julián de Ortega</t>
  </si>
  <si>
    <t>…l de 440 con la carga de un censo de 100 ducados de principal, á la que está hecha postura en las dos terceras partes de su valor á dinero metálico; y en virtud de providencia del Sr. D. Josef Julián de Ortega, corregidor y juez subdelegado privativo de aquel Real establecimiento, se ha mandado sacar nueva mente á pública subasta, señalando para su remate el dia 9 de Abril próximo á las 11 de su mañana en las casas donde celebra su audiencia; lo que se hace saber p…</t>
  </si>
  <si>
    <t>Ortega, Juan</t>
  </si>
  <si>
    <t>Juan Ortega</t>
  </si>
  <si>
    <t>…Manuel de la Llata Saenz. ,jDe ios destacamentos de realistas fieles de Sama Bárbara , Bernal, Detiga , Santa María Peñamillera &amp;c. reuní 68 hombres, que al mando de los oficiales teniente D. Juan Ortega y alférez D. Dionisio Jesús Vega marcha ron á la sierra en persecución de los rebeldes, caminando por cerros asperí simos , y avanzaron 26 leguas distante de esta villa , sufriendo las penalida des que ofrecen estos terrenos; pero nada es difícil á los buenos…</t>
  </si>
  <si>
    <t>Ortega, León</t>
  </si>
  <si>
    <t>León Ortega</t>
  </si>
  <si>
    <t>…to y á la rapidez con que llevó los enemigos por delante la total dispersión y fuga de ellos. Los ayudantes de campo del general en gefe coronel D. Manuel Villavicencio y teniente coronel D. León Ortega se distinguieron por su extraordina ria actividad en comunicar las órdenes, hallándose ambos desmontados. El capitán D. Josef Bedoya, ayudante del brigadier Canterac, corrió varias veces á las cabezas de las columnas animando con su egemplo á cuantos presenci…</t>
  </si>
  <si>
    <t>Ortega, Marias</t>
  </si>
  <si>
    <t>Marias Ortega</t>
  </si>
  <si>
    <t>…Lis, con que le ha agraciado S. M. Cristianísima. El REY nuestro Señor, á consulta del supremo Consejo de Hacienda en junta general de Comercio y Moneda, se ha servido conceder á D. Marias Ortega, vecino de la ciudad de Palencia, para que se perpetúe en su familia la lnt'lnoria de sus distinguidos lnéritos y patriotismo en la pasada guerra,. el privilegio de colocar el escudo de armas Reales sobre las puertas de la fábri .. ca de curtidos que tiene es…</t>
  </si>
  <si>
    <t>Ortiz, Andrés</t>
  </si>
  <si>
    <t>Andrés Ortiz</t>
  </si>
  <si>
    <t>…3 Dorl Juan Diaz Hidalgo___ De 600 pesos de Mayo de 1808 : 381471 D Fran cisco Piañas Casal (de Cataluña): 382806 Domingo de Párramo: 391200, 391541,391732,392840, 393503 y 39^004 D. Andrés Ortiz: 396537 D. Domingo Mas y Somoza: 39735 t D. Andrés Ortiz: 397951 Banco Ra cional de S. Carlos: 399968 Doña Monica González: 406018 y 407829 D. Francisco Arxer é h-jo (.de Barcelona) 1408939 Doña María Antonia Sanz Merino: 409380 D. Josef Arratia : 41 1609 Doñ…</t>
  </si>
  <si>
    <t>Ortiz, Juan Padilla y</t>
  </si>
  <si>
    <t>Juan Padilla y Ortiz</t>
  </si>
  <si>
    <t>…Peñaranda de Bracamonte á Don Dámaso Megía Girón , corregidor que era de Rueda del Almirante: para la de Salas de ¡os Infantes á D. Josef Antonio Vázquez: para la de Friailiana á D. Juan Padilla y Ortiz, alcalde mayor que era de la ciudad de A /amon te : para la de Rivadavia á D. Joaquín Hernández : para la de S. Pedro Man rique á D. Antonio Zapatero y Pomar: para la de Herrera del Duque á Don Pedro Cano, alcaide mayor que era de Siruela; y para la de Quinta…</t>
  </si>
  <si>
    <t>Ortuzar, Francisco de Duraogo y</t>
  </si>
  <si>
    <t>Francisco de Duraogo y Ortuzar</t>
  </si>
  <si>
    <t>I2°3 presentación del consulado de la provincia marítima de Santander, puesta ea las Reales manos por medio de D. Francisco de Duraogo y Ortuzar, caba llero de Ja Real y distinguida orden española de Carlos m, su diputado ertraordinario. ,, Señor: Cuando V. M. se dignó expedir el Real decreto de 30 de Mayo de este año, que comprende el nuevo sistema de Real Hacienda adoptado para estos reinos, echó V.…</t>
  </si>
  <si>
    <t>Ortúzar, Juan de</t>
  </si>
  <si>
    <t>Juan de Ortúzar</t>
  </si>
  <si>
    <t>…der bastante, en el juzgado de dicho señor y escribanía del referido escribano á deducir sus acciones; con apercibimiento que de no hacerlo les parará el perjuicio que haya lugar. D. Juan de Ortúzar, propietario y del comercio de la ciudad de Medina del Campo, en Castilla la Vieja, se amentó de su casa el 2 2 de Setiembre último tras tornado de la cabeza: su edad pasa de 60 años,su estatura es regular , grueso, bue na presencia, ancho de cara, y tiene un…</t>
  </si>
  <si>
    <t>Osores, Nicolás</t>
  </si>
  <si>
    <t>Nicolás Osores</t>
  </si>
  <si>
    <t>…iten aquellos desfiladeros : mandé que los citados García y Hoyos avanzasen por la cum bre á romper el fuego, destacando inmediatamente por un desfiladero de la derecha al alférez D. Nicolás Osores con 25 hombres de infantería y 15 de caballería para que divirtiese y distrajese la pronta reunión de un grupo apos tado en un peñón dominante al tránsito, por el que marché con el resto de infantería y alguna caballería á batir aceleradamente otros tres grup…</t>
  </si>
  <si>
    <t>Osorio, Antonio Adeba y</t>
  </si>
  <si>
    <t>Antonio Adeba y Osorio</t>
  </si>
  <si>
    <t>…verifiquen les parará el perjuicio que haya lugar. Por el presente se cita y emplaza á todos los acreedores, testamentarios y here deros de Doña Donata González, viuda que fue de D. Antonio Adeba y Osorio, para la junta que entre los mismos ha de celebrarse el domingo 4 del próximo mes de Mayo á las nueve en punto de su mañana en la posada del Sr. D. Joaquín de Almazan, del Consejo de S. M., teniente corregidor de esta heroica villa, por cu yo juzgado y escrib…</t>
  </si>
  <si>
    <t>Ostransky</t>
  </si>
  <si>
    <t>…estinó inmediatamente 20© medidas para el principado ae Transilvania, que es eí mas necesitado. Dicen las últimas cartas de Varsovia que ha sido nombrado presidente del consejo el conde Ostransky; y añaden que se espera pronto el nombra miento de tres obispos, cuyas sillas están vacantes.___La Dicta de Polonia debía abrirse el 20 del corriente. GRAN BRETAÑA. Londres 2 de Febrero. Anteayer presentó el lord corregidor al almirante Exmouth la espada que…</t>
  </si>
  <si>
    <t>Osuna, Francisco de Paula</t>
  </si>
  <si>
    <t>Francisco de Paula Osuna</t>
  </si>
  <si>
    <t>…lla na D. Josef Perez de la Torre de las montañas de Santander, y D. Josef Ma ría Moreno, de Xerez de la Frontera ; y por último en ortografía castellana é historia de la religión D. Francisco de Paula Osuna, de Moron de la Fron tera , y D. Josef Martínez y Piedra , de la ciudad de Sanlucar de Barrameda. La magnificencia con que el presbítero D. Juan Sánchez Barrancos, cura de esta iglesia parroquial, y tesorero de la hermandad, habia hecho adornar</t>
  </si>
  <si>
    <t>Otañez, Wenceslao</t>
  </si>
  <si>
    <t>Wenceslao Otañez</t>
  </si>
  <si>
    <t>…adela de Valencia al teniente D. Antonio Chover, alférez de caballería, agregado al estado ma yor de la plaza de S. Felipe de Járiva ; y para capitán de llaves de la del Ferrol al teniente D. Wenceslao Otañez, subteniente del regimiento de in fantería de Zamora.</t>
  </si>
  <si>
    <t>Oteiza, Manuel</t>
  </si>
  <si>
    <t>Manuel Oteiza</t>
  </si>
  <si>
    <t>…e era espitan y segundo de ia gavilla de Sancli ez, y ha quedado en esta ciudad con el empleo de capitán de la partida de indultados con quienes se presentó, y son los siguientes: D. Manuel Oteiza, D. Antonio Trevíño , D. Damian Arandía , D. Remigio Nieto , D. Igna cio Améscua , D. Juan Pineircs, D. Rías Arandía, Aniceto Acosta, Cayeta no Quintana, Rafael Vega , Agustín Navarrete, Antonio Castrejon, Vicente Perez , Josef María Perez , Josef María Sánch…</t>
  </si>
  <si>
    <t>Otermin, Agustín</t>
  </si>
  <si>
    <t>Agustín Otermin</t>
  </si>
  <si>
    <t>…Doña Isabel D. EIoyiGarcía y el subteniente del regimiento de Navarra D. Cosme Payés. Los heridos son el comandante de Burgos, eefe de estado mayor de la división expedicionaria, D. Agustín Otermin, el adicto á dicha división D. León Iturbe , el capitán graduado de teniente coronel Don Juan Nepomuceno Montero, los tenientes D. Bernardo Vara y D. Antonio Rebollo, y el subteniente D: Tomas Brigidos, todos del regimiento de la Union , el subteniente de Bar…</t>
  </si>
  <si>
    <t>…, que aun no tenia cerradas las que recibió en el asalto de Barcelona, y lo hirieron á lanzadas gravemente: el teniente coronel gefe del estado mayor de la división expedicionaria D. Agustín Otermin; el capitán D. Juan Neporrmceno Montero y el teniente D. Bernardo Vara, del regimiento de la Union: el teniente de Navarra D. Antonio Villa, y el de Burgos D. Juan de la Cruz Osores, que fueron heridos: Vara y Villa á pesar de sus heridas con tinuaron en la a…</t>
  </si>
  <si>
    <t>Oudin</t>
  </si>
  <si>
    <t>…ministro de Guerra de los desórdenes que cometió un destacamento de tropas de línea, que se hallaba el 18 de Ju lio en St.-Genies, con motivo de haber s&lt;do llevado al suplicio el capitán Oudin, ha mandado S. M. que todos los militares de dicho destacamento que tuvieron parte en los desórdenes, sean inmediatamente echados de los cuer pos á que pertenezcan. También ha mandado el Rey que á los habitantes de St.-Genies se les indemnice de las pérdidas…</t>
  </si>
  <si>
    <t>Oudinot</t>
  </si>
  <si>
    <t>…de Agosto. Se espera para mañana en Luxemburgo á S. M. el Rey de Prusia, quien pasará en seguida á los acantonamientos del cuerpo de egército prusiano qué se halla en Francia. El mariscal Oudinot, duque de Reggio, acompañado de un lucido estado mayor, recibirá al Rey á su entrada en el territorio francés. Algunos de los refugiados franceses que deben salir del reino de orden superior han obtenido licencia para permanecer aquí hasta 30 de este mes, á f…</t>
  </si>
  <si>
    <t>OUer, Andrés</t>
  </si>
  <si>
    <t>Andrés OUer</t>
  </si>
  <si>
    <t>…lbo y Elguero, ca ballero capitular que fue del Excmo. ayuntamiento de esta muy heroica villa, el dia 14 de Setiembre próximo á las 9 en punto de su mañana en la posada del Se ñor D. Andrés OUer, del Consejo de S. M., alcalde de casa y corte, en cuyo juz gado de provincia por la escribanía de D. Juan Antonio Díaz Noriega pende la testamentaría del expresado Albo, con el fin de que se avengan y traten de la so lución y pago de sus créditos, con los bi…</t>
  </si>
  <si>
    <t>Ovan, Isabel de</t>
  </si>
  <si>
    <t>Isabel de Ovan</t>
  </si>
  <si>
    <t>…da de 850 cabezas lanares, y toda su tierra de primera calidad, su casa de labor, oficinas correspondientes, y con una huerta murada y varias cercas, que se hace de conformidad de Doña Isabel de Ovan do, viuda de D. Francisco María de Ulloa, á cuyos mayorazgos pertenecía, y los acreedores á los bienes de este, para cuyo pago fue declarada libre por S. M.; y la tasación de dicha parte de dehesa asciende á la cantidad de 381312 rs. y 14 mara vedises, para c…</t>
  </si>
  <si>
    <t>Ovando, Catalina Sierra de</t>
  </si>
  <si>
    <t>Catalina Sierra de Ovando</t>
  </si>
  <si>
    <t>…ndas de la Real orden de Damas nobles de la Reina María Luisa A las Sras. condesa de Miranda; marquesa de Monesterio; condesa viuda de Cron; marquesa de Teran condesa de Canillas; Doña Catalina Sierra de Ovando; marquesa de Benarnejí viuda; marquesa viuda de Maenza; mar-</t>
  </si>
  <si>
    <t>Ovando, Catalina Sierra y</t>
  </si>
  <si>
    <t>Catalina Sierra y Ovando</t>
  </si>
  <si>
    <t>…de Miranda , marquesa de Monesterio y la Lapilla , condesa de Torrejon, marquesa de Villamarciel, mar quesa viuda de Benamejí, condesa viuda de Cron, baronesa viuda de Carondelet, Doña Catalina Sierra y Ovando, marquesa de Teran, condesa de</t>
  </si>
  <si>
    <t>Ovando, Isabel de</t>
  </si>
  <si>
    <t>Isabel de Ovando</t>
  </si>
  <si>
    <t>…egladas, y se señala para el segundo remate el dia 18 del corriente á ía salida de los Señores de la sala en la audiencia de dichjo señor y expresada escribanía. De conformidad de Doña Isabel de Ovando , viuda de D. Francisco María de Uiloa, como madre, tutora y curadora de su hijo menor D. Manuel, y los acreedo res á los bienes de aquel, se están subastando 713 mrs. al rniílar de la dehesa de Pa lacio viejo, de cabida 850 cabezas lanares, y toda su tierra…</t>
  </si>
  <si>
    <t>Oveje, Josef María Diez Quijada y</t>
  </si>
  <si>
    <t>Josef María Diez Quijada y Oveje</t>
  </si>
  <si>
    <t>…ctor D. Ramón de Azpeitia Saenz de Sta. María, canónigo, dignidad de arcediano de Sepúlveda en la santa iglesia de Segovia , y auditor honora rio de la Nunciatura. Consiliario i.° D. Josef María Diez Quijada y Oveje ro. Idem 2.0 D. Clemente García Escudero y Urrutia. Idem 3.0 D. Pablo Govantes. D. Marcos Galan , D. Antonio Castellano y Cabrejano, D. Juan González Miranda, D. Antonio Arias de Prada , D. Justo Saenz de S. Pedro, D. Gabriel Ceruelo de Velasco y D. Josef Sac…</t>
  </si>
  <si>
    <t>Oviedo, Rodrigo</t>
  </si>
  <si>
    <t>Rodrigo Oviedo</t>
  </si>
  <si>
    <t>…la no en prosa y verso de las reglas de los géneros de los nombres, pretéritos y supi nos de los verbos: libro cuarto y quinto, y otras adiciones útiles, puestas y arre gladas por D. Rodrigo Oviedo, teniente de ingenieros cosmógrafos de Estado, ex catedrático de latinidad en los Reales estudios de S. Isidro &amp;c.: un tomo en 8.° Se vende en el despacho de libros de la Real compañía de impresores y libreros del reino, calle de Preciados. Origen, acontecimi…</t>
  </si>
  <si>
    <t>Owea, Eduardo</t>
  </si>
  <si>
    <t>Eduardo Owea</t>
  </si>
  <si>
    <t>…de S. Albano muchos arados de nueva invención, y gran porción de utensilios de agricultura que el gran duque Nicolás ha comprado en su último viage, y se lo lleva todo á Rusia. El caballero Eduardo Owea está encargado de conducir al gran duque á</t>
  </si>
  <si>
    <t>Oxford</t>
  </si>
  <si>
    <t>…voz de su pueblo. Podéis estar seguros de que la regencia hará llegar al pie del trono vuestras propuestas acompañadas de su informe.” ITALIA. Roma a de Diciembre. Ha llegado aquí lord Oxford después de haber escapado de las manos de los bandidos que detuvieron y robaron su coche cerca de Viterbo, dejando al lord casi desnudo. Uno de sus criados fue herido gravemente. Parece que el Padre Santo quiere renunciar á la pompa exterior, pues se dice que…</t>
  </si>
  <si>
    <t>Ozores, Blas</t>
  </si>
  <si>
    <t>Blas Ozores</t>
  </si>
  <si>
    <t>…s de la Cabaña á D. Josef Manuel González, que servia igual empiecen ei del Príncipe___ También se ha servido S. M. conceder honores de auditor de guerra de egército y provincia á D. Blas Ozores, asistente justicia mayor de la ciudad de Santiago, en atención á su literatura, idoneidad y conoci mientos. Deseando el Rey nuestro Señor que no se propaguen grabado; defectuosos en descrédito de la nación y desdoro de las nobles artes, especialmente cuan do…</t>
  </si>
  <si>
    <t>Pa</t>
  </si>
  <si>
    <t>…n establecidos. Dios guarde á V. E. mu chos años. Cuartel general del Paso del Frió en la Ribera del Apure á 29 de Enero de i8i7. = Miguel de la Torre. =Excmo. Sr. general en gefe D. Pa blo Morillo. El mismo general ha dirigido al señor secretario de Estado y del des pacho de la Guerra con fechas de 11 y 19 de Abril último los siguientes partes desde su cuartel general de Marcay y Valencia.. i.° Excmo. Sr.: El coronel D. Juan de Aldama y com…</t>
  </si>
  <si>
    <t>Pablo</t>
  </si>
  <si>
    <t>…los efectos tomados al enemigo , y que no me son necesarios en el egército. Dios guarde á V: E. muchos años. Barcelona 10 de Abril de 1817.= Excmo. Sr- = Juande Aldama. =■ Excmo, Sr. D. Pablo -Morillo, general en gefe del ■ egército expedicionario.</t>
  </si>
  <si>
    <t>928 de Mayo de i8o8, cotí el núrn. 450565, que le fue endosado por D. Miguel Fuster en dicha ciudad; y como se ignore el paradero de este, á instancia del D. Pablo ha mandado dicho señor teniente corregidor se le cite y emplace por medio de este periódico al D. Miguel, para que en el término de 30 dias, contados desde la pu blicación, comparezca en el citado juzgado por sí ó por medio de procurador de él á contestar lo…</t>
  </si>
  <si>
    <t>Pacheco, Andrés Fernandez</t>
  </si>
  <si>
    <t>Andrés Fernandez Pacheco</t>
  </si>
  <si>
    <t>…ques de Villena, di rector de la academia, por D. Francisco Antonio de Angulo, á 2 rs__ Oración fú nebre que en las exequias celebradas por ia academia en la muerte de su director D. Andrés Fernandez Pacheco, marques de Villena, dijo el Dr. D. García de Montoya; y elogio del mismo señor director, leído por el Dr. D. Ignacio Cevallos Viilagutierre , á 2 rs._Oración fúnebre que en las exequias del Excmo Sr. duque de Alba dijo el Dr. D. Josef Vela, í 2 rs. —Relación…</t>
  </si>
  <si>
    <t>Pacheco, Ignacia de Medina y</t>
  </si>
  <si>
    <t>Ignacia de Medina y Pacheco</t>
  </si>
  <si>
    <t>…a de niñas pudientes, establecida por el mes de Abril de este año, se presentaron otras 14 alumnas; y sin embargo del poco tiempo de su enseñanza hubo seis entre ellas, que fueron Doña Ignacia de Medina y Pacheco, Doña María de los Dolores Velasco, Doña María de la Luz Hojas, Doña María del Carmen Uíloa, Doña María Magdalena Uüoa y Doña María de los Dolores Saavedra , quienes sobre el examen de doctrina cristiana leyeron también en prosa y verso, y respondieron á toda…</t>
  </si>
  <si>
    <t>Pacheco, Juan López</t>
  </si>
  <si>
    <t>Juan López Pacheco</t>
  </si>
  <si>
    <t>…f de Viera y Clavijo, á 2§ rs.__Elogio del Excmo. Sr. marques de San ta Cruz, escrito por D. Nicasio Alvarez de Cienfuegos, á real y medio en papel._: Elogio histórico del Excino. Sr. D. Juan López Pacheco, marques de Villena, di rector de la academia, por D. Francisco Antonio de Angulo, á 2 rs__ Oración fú nebre que en las exequias celebradas por ia academia en la muerte de su director D. Andrés Fernandez Pacheco, marques de Villena, dijo el Dr. D. García de M…</t>
  </si>
  <si>
    <t>Paez, Francisco Verdejo</t>
  </si>
  <si>
    <t>Francisco Verdejo Paez</t>
  </si>
  <si>
    <t>…le de la Concepción Gerónima: puede ir en carta. Tratado de agrimensura, ó arte de medir tierras y aforar líquidos para el uso é instrucción de agrimensores y labradores: su autor D. Francisco Verdejo Paez; com prende primero un tratado elemental de aritmérica, y luego después unas breves no ciones de geometría; da reglas para la medida y repartición de cualquier terrenos, y concluye con el método de levantar y lavai! úh ’plano: segunda edición aumenta da con l…</t>
  </si>
  <si>
    <t>Palacio, Diego de</t>
  </si>
  <si>
    <t>Diego de Palacio</t>
  </si>
  <si>
    <t>…to, natural del valle de Soba, montañas de Santander, que pasó á América mu chos años hace, y si en caso de haber fallecido dejó hijos ó herederos legítimos, se servirá avisarlo á D. Diego de Palacio, del comercio de Madrid, que se halla en cargado de comunicarle cierto asunto que le interesa. Vida de S. Antonio de Padua, escrita en italiano por el abate Acevedo, tra ducida por un devoto: un tomo en 4.0, impreso en 1790. Se hallará en papel á 10 reales en…</t>
  </si>
  <si>
    <t>Palacios, Ignacio</t>
  </si>
  <si>
    <t>Ignacio Palacios</t>
  </si>
  <si>
    <t>…Abad y D. Gregorio Cancela. En trigonometría plana los mismos Martínez , Lourei ro, Galceran, Vicario, Arias, Pujadas, Cancela , D. Benito y D. Florencio Pereira, D. Josef Perez, D. Ignacio Palacios y D. Juan Pablo Rodríguez» En trigonometría esférica el mismo Rodríguez, Perez, Pujadas, Galceran, Loureiro, Palacios y D. Benito Pereira. En cosmografía el referido Perez, D. Juan Pablo Rodríguez, D. Domingo Valay, D. Francisco Galceran y D. Lino Pacheco. En geografía los referidos P…</t>
  </si>
  <si>
    <t>Palacios, Manuel</t>
  </si>
  <si>
    <t>Manuel Palacios</t>
  </si>
  <si>
    <t>…on su dia D. Eloy Pascual con una oración latina. El segundo dia abrió el acto D. Rafael Andreu Artigas, niño de cua tro años, con otra canción, al que siguieron D. Agustín Perez, D. Manuel Palacios y D. Bernabé García, que dieron muestras de su instrucción en la</t>
  </si>
  <si>
    <t>Palafox, Josef de</t>
  </si>
  <si>
    <t>Josef de Palafox</t>
  </si>
  <si>
    <t>cía, se ha dignado S. M. conceder, á petición del Capitán General de su* egércitos D. Josef de Palafox y del Teniente General Marques de Lazan, nna nueva cruz de distinción á todos los individuos Militares que con las ar mas en la mano contribuyeron á la expresada defensa de la ciudad de Zara goza en su primer sitio, la cual será igual á la que disfrutan los d…</t>
  </si>
  <si>
    <t>…r á SS. MM. y AA., á nombre de la villa de Estadilla, en Aragón , por sus felices enlaces , el regidor decano de la dicha villa D. Dionisio de Abad , acompañado del Excelentísi mo Sr. D. Josef de Palafox, capitán general de ios Reales egércitos, y del M. I. Sr. D. Antonio Allue, obispo electo de Gerona, capellán de honor de S, M., y penitenciario de su Real capilla; de los cuales el primero tuvo el honor de cumplimentar á S. M. en los términos siguientes: ,,S…</t>
  </si>
  <si>
    <t>Palafox, Juan de</t>
  </si>
  <si>
    <t>Juan de Palafox</t>
  </si>
  <si>
    <t>…confesión y sagrada comu nión; contiene el oficio de nuestra Señora, la devoción á los siete dolores y gozos de S. Josef, y la de S, Joaquín y Sta. Ana, compuesto por el venerable D. Juan de Palafox; un tomo en 8.° á 10 rs. en pasta.mTriduo sacro, ó colección de poe sías, en que se expresan los misterios de la pasión y resurrección de nuestro Señor Je sucristo, adornado con estampas finas: un tomo en 8.° á ro rs. en pasta. Se halla rán en la librería de…</t>
  </si>
  <si>
    <t>Palatino</t>
  </si>
  <si>
    <t>…a apostólica, y supernumerario con entra da y egercicio en el secreto del santo oficio de la Inquisición de corte , para el uso de la venera de caballero de la Espuela dorada y de conde Palatino con que le ha condecorado S¿ S.</t>
  </si>
  <si>
    <t>…rvido conceder su Real permiso á D. Jo sef Antonio Rancaño, abad de S. Vicente de Pinol, en el obispado de Lugo, para que pueda usar la cruz de caballero de la Espuela dorada y de conde Palatino con que le ha condecorado S. S. El dia i.° de Noviembre próximo saldrá de Cádiz el bergantin Vengador, correo de la armada, con la correspondencia de oficio y pública para todos los puntos de las Américas. Lo que Se avisa ál público para su inteligencia á los…</t>
  </si>
  <si>
    <t>Palomares, Bernarda</t>
  </si>
  <si>
    <t>Bernarda Palomares</t>
  </si>
  <si>
    <t>…s y Serra, Doña Josefa Bur gués, Doña María Dominga Aparici, Doña Carmen Sala y Corones, Doña Magdalena Prat, Doña Vicenta Vidal, Doña Vicenta Carruana, Doña Isa bel María Morera, Doña Bernarda Palomares y Doña Antonia Chaubet. D espues de esto, habiendo ocupado los premiados el lugar distinguido según costumbre, y cesado la múdea que solemnizaba este tierno acto, el socio de mérito P. Rafael del Angel Custodio, rector del colegio de las Escuelas Pías, dijo una canción, estimulando…</t>
  </si>
  <si>
    <t>Palomino, Juan Bernabé</t>
  </si>
  <si>
    <t>Juan Bernabé Palomino</t>
  </si>
  <si>
    <t>…ada por Don Manuel Salvador Carmona, á 40 rs. con su explicación. “Estampa del cuadro ale górico de la fundación de esta Real academia, que pintó L). Antonio González, grabada por D. Juan Bernabé Palomino, á 15 rs.“Hay otras estampas de mérito inferior , grabadas por discípulos de la academia años hace , y son las siguientes: tres vistas del insigne acueducto de Segovia, á 8 rs. cada una. “Dos del palacio de Aranjuez, id.“Una de las descalzas Reales de esta co…</t>
  </si>
  <si>
    <t>Pan, Josef López del</t>
  </si>
  <si>
    <t>Josef López del Pan</t>
  </si>
  <si>
    <t>…s, está tasada en 257158 reales, y dan por ella 200869 rs. en dinero metálico, y 64289 rs. en recibos de intereses de vales Reales, acuda á la audiencia del señor alcalde de corte D. Josef López del Pan, y escribanía de provincia de D. Luis López de Castro, donde se admitirán las que se hicieren siendo arregladas; y para el remate de la misma casa se halla señalado el dia 27 del corriente a las 11 de su mañana en dicha audiencia y escribanía, cuya postura es…</t>
  </si>
  <si>
    <t>…cada año , sin exacción de derechos en conformidad del Real decreto de 30 de Mayo del presente año. — ■ ■ '■■■ - •"1 --■■■ - ........... Por providencia del señor alcalde de corte D. Josef López del Pan, del Con sejo de S. M., dada en 20 de Octubre próximo pasado, y refrendada por el escri bano de provincia y comisiones de la misma D. Luis López de Castro, se cita , lla ma y emplaza á todos los parientes y demas personas que se encuentren con derecho á los b…</t>
  </si>
  <si>
    <t>…los interesados que no han comparecido, y que se inserte la presente en la gaceta y diario de esta capital para que llegue á noticia de los mismos interesados. Par providencia del Sr. D. Josef López del Pan , del Consejo de S. M., alcalde de casa y corte, refrendada por D. Luis López de Castro,, escribano de provincia y comisiones de la misma, y para pago de un acreedor se ha mandado sacar á publica subasta unas viñas, tierras y tajón de tálamos, situadas en el…</t>
  </si>
  <si>
    <t>…ña el correspondiente permiso y facultad para que pueda celebrar el dia martes de cada semana un mercado en el pueblo de Molledo. En virtud de providencia del Sr. alcalde de corte D. Josef López del Pan , dada en 9 del corriente, y refrendada por el escribano de provincia y comisiones de la</t>
  </si>
  <si>
    <t>…cer postura á uno ú otro acuda ante el expresado señor juez y escribanía del mencionado Seco, que se admitirán las que se hicieren siendo arre gladas. En virtud de providencia del Sr. D. Josef López del Pan, alcalde de Casa y Corte, refrendada del escribano de provincia y comisiones de la misma D. Luis Ló pez de Castro, se cita, llama y emplaza por término, y último perentorio de 20 dias, á todos los parientes ó herederos que se crean con derecho á los bienes qu…</t>
  </si>
  <si>
    <t>Pan, Josef Salvador López del</t>
  </si>
  <si>
    <t>Josef Salvador López del Pan</t>
  </si>
  <si>
    <t>…e dicho señor teniente corre gidor, y escribanía del número de D. Alejandro Gutiérrez, donde se admitirán las que se hagan siendo justas y arregladas. En virtud de providencia del Sr. D. Josef Salvador López del Pan, del Consejo de S. M., alcalde de casa y corte, dada en 16 del corriente, y refrendada por el.escribano de provincia y comisiones de la misma LX Luis López de Castro, se cita, llama y emplaza á todos los acreedores al concurso de D. Pedro Casamayor y com pañí…</t>
  </si>
  <si>
    <t>…n hacer postura á cualquiera de dichas fincas, sea á vales Reales ó á efectivo, ó bien á efectivo y vales, acudirán á la escribanía de D. San tiago de Estepar. Por providencia del Sr. D. Josef Salvador López del Pan, del Consejo de S. M., alcalde de casa y corte, dada en 4 del corriente mes y año, y refrendada por el es cribano de provincia y comisiones de la misma D. Luis López de Castro , se cita, llama y emplaza á todas las personas ó parientes que se hallen con derec…</t>
  </si>
  <si>
    <t>…ada ciudad de Valencia egerce.D. Salvador de Alagon, á re clamar sus créditos; con apercibimiento que no compareciendo Ies parará el perjui cio que haya lugar. Por providencia del Sr. D. Josef Salvador López del Pan ,del Consejo de S. M., su alcalde de casa y corte , dada en 16 del corriente mes y año, refrendada por el escribano de provincia y comisiones de ella D. Luis López de Castro, se cita, lla ma y emplaza, por término perentorio é improrrogable de 15 dias, contad…</t>
  </si>
  <si>
    <t>…F rancisco Henriquez de Villacorta, la que tuvo efecto en 27 de Setiembre de ¡6p6t para que en el término de 20 días, contados desde su publicación, con curran á la audiencia del Sr. D. Josef Salvador López del Pan, del Consejo de S. M., alcalde de casa y corte, y escribanía de provincia y comisiones de la misma de D. Luis López de Castro, á acreditar en la forma de derecho el que les asista pa ra obtener dicho patronato; con apercibimiento que de no hacerlo les parará…</t>
  </si>
  <si>
    <t>…riba no único de ella; en inteligencia que no se admite menos de la tasa, y que su pago ha de ser en metálico, verificado que sea el remate. Por providencia de 9 del corriente del Sr. D. Josef Salvador López del Pan, del Consejo de S. M., alcalde de casa y corte, refrendada del escribano de provin cia y comisiones de la misma D. Luis López de Castro, se cita, llama y emplaza por término de 30 dias, contados desde su publicación, á todos los que tengan de recho á los bien…</t>
  </si>
  <si>
    <t>…ste asunto; con apercibi miento que pasados sin haberlo hecho se sustanciarán los citados autos en estrados, y les parará el perjuicio que haya lugar. En virtud de providencia del Sr. D. Josef Salvador López del Pan, del Conse jo de S. M., alcalde de casa y corte, dada en 9 del corriente, y refrendada por Don Luis López de Castro, escribano de provincia y comisiones de la misma, se cita, llama y emplaza por el preciso término de 20 dias, contados desde -su publicación, á…</t>
  </si>
  <si>
    <t>…riente á las 11 de su mañana en la casa y calle de la Cruzada, cuarto principal, donde se halla establecido el tribunal del Real pa trimonio. Por providen&lt;fia de 14 del pasado del Sr. D. Josef Salvador López del Pan , del Consejo de S. M., alcalde de casa y corte, refrendada del escribano de provincia y comisiones de la misma D. Luis López de Castro, se manda citar, llamar y empla zar por tercero y último término ¡mprorogable de 1 5 dias, contados desde esta pu blicación…</t>
  </si>
  <si>
    <t>…con varias condiciones. Quien qui siere hacer mejora acuda ante dicho señor juez por la escribanía de provincia de D. Simón Ruiz. Hn virtud de providencia de 20 del corriente del Sr. D. Josef Salvador López del Pan , del Consejo de S. M., alcalde de casa y corte, refrendada del escribano de provincia D. Luis López de Castro, se cita, llama y emplaza por segundo tér mino de 20 dias, contados desde su publicación, á todos los que tengan derecho á jos bienes del concurso d…</t>
  </si>
  <si>
    <t>…es, y dos vales de á 600 pesos de la creación de i.° de Mayo, con sus correspondientes intereses. La persona que qui siere hacer mejora lo egecutará ante el señor alcalde de corte D. Josef Salvador López del Pan, y escribanía de provincia de D. Luis López de Castro, donde se admitirán las que hagan siendo arregladas, y se señala para el segundo remate el dia 18 del corriente á ía salida de los Señores de la sala en la audiencia de dichjo señor y expresada escribanía.…</t>
  </si>
  <si>
    <t>…escuela, distinguiéndoles con un cierto derecho á ser atendidos en lo sucesivo en cuanto estuviese al alcance de la junta del Real estudio. Por providencia de 3 del corriente del Sr. D. Josef Salvador López del Pan, del Consejo de S. M., alcalde de casa y corte, refrendada por D. Luis López de Castro, escribano de provincia y comisiones de la misma, se cita, llama y emplaza por el término de 15 días, contados desde su publicación, á todos los acreedores á los bienes que…</t>
  </si>
  <si>
    <t>…. anuales, que en virtud de la misma Real orden se sirvió señalar perpetuamente el Rey nuestro Señor sobre la renta de mostrencos. En virtud de providencia de 13 del corriente del Sr. D. Josef Salvador López del Pan, del Consejo de S. M., alcalde de casa y corte, refrendada del escribano de provincia y comisiones de la misma D. Luis López de Castro, se cita, llama y em plaza por tercero y último término de 15 dias, contados desde su publicación , á todos los acreedores d…</t>
  </si>
  <si>
    <t>…e admitirá la que fuese siendo arreglada; para cuyo remate se señala el dia 28 del corriente en el tribunal de dicho Real Patrimonio de 1 1 á 1 2 de su mañana. Por providencia del Sr. D. Josef Salvador López del Pan , del Consejo de S. M., alcalde de su Real casa y corte, dada en 16 del corriente, y refrendada por el es cribano de provincia y comisiones de la misma D. Luis López de Castro, se cita, llama y emplaza por el término de 30 dias á todos los acreedores y censua…</t>
  </si>
  <si>
    <t>Pando, Josef Figueroa y</t>
  </si>
  <si>
    <t>Josef Figueroa y Pando</t>
  </si>
  <si>
    <t>diencía Antonio Gómez de Calo en el año de 1654, ante Benito Fandiño, escri bano del número de la propia ciudad, y que en el día posee D. Josef Figueroa y Pando, caballero maestrante de la Real de Granada, vecino de Villacañas, en la Mancha, por quien se ha recurrido á mi juzgado pidiendo el presente emplazamiento, mediante á que conviniéndole solicitar Real facultad para enagenar parte de las fincas correspondientes…</t>
  </si>
  <si>
    <t>Pando, Manuel de</t>
  </si>
  <si>
    <t>Manuel de Pando</t>
  </si>
  <si>
    <t>…amenta ría de D. Josef Ferreti y Caracciolo, y á la que solo pertenece una casa sita en esta villa, calle del Conde Duque, núm. 3 , manz. 538, de la que es administrador ju dicial D. Manuel de Pando, vecino y del comercio de la misma, á cuya instancia y solicitud, y la del curador ad litem del hijo menor de aquel, se cita, llama y convoca á junta á todos los acreedores á dicha testamentaría, señalada para el miér coles 17 del corriente en la posada de di…</t>
  </si>
  <si>
    <t>Paniagua, Juan Leandro</t>
  </si>
  <si>
    <t>Juan Leandro Paniagua</t>
  </si>
  <si>
    <t>…rte al procu rador de Jos Reales Consejos D. Juan de Dios Brieva, que vive cava de S. Miguel, esquina á la calle Mayor, cuarto principal, y en Toledo al procurador de aquel número D. Juan Leandro Paniagua, que están comisionados para ello. Se halla vacante la plaza de cirujano de Ja villa de Valencia de Alcántara, en la provincia de Extremadura: su dotación consiste en 300 ducados, pagados por la justicia con la mayor puntualidad por tercios del caudal de prop…</t>
  </si>
  <si>
    <t>Paniagua, Luis Josef de Valdivia y</t>
  </si>
  <si>
    <t>Luis Josef de Valdivia y Paniagua</t>
  </si>
  <si>
    <t>…cante por haber cumplido su sexenio D. Cristóbal González Doñelfb; y para la del Corra! de A ¡maguer, que lo está por promoción de D. Francisco de Rivas á la de Torana y Ale do, á D. Luis Josef de Valdivia y Paniagua; dignándose también S. M., á consulta del propio tribunal, conceder la permuta que solicitaron de sus va ras el alcalde mayor de la villa de Los Santos D. Francisco Xavier López Duque, y el de la del Quintanar de la Orden D. Liborio de Tudeia y Ra mos , para…</t>
  </si>
  <si>
    <t>Pantoja, Fernando María</t>
  </si>
  <si>
    <t>Fernando María Pantoja</t>
  </si>
  <si>
    <t>…y Morales, juez eclesiástico or dinario de dicho priorato y arciprestazgos , subdelegado castrense del mismo, y obispados de Plasencia y Coria, del Consejo de S. M., y el Lie. Fr. Don Fernando María Pantoja, capellán de honor de S. M. por la misma orden, y ex-prior del citado convento; de ios cuales el primero dijo entre otras co sas lo siguiente: ,,Señor: Vuestro prior del convento de S. Benito de vuestra orden y caballería de Alcántara, tiene la alta honra de…</t>
  </si>
  <si>
    <t>Pantoja, Juana</t>
  </si>
  <si>
    <t>Juana Pantoja</t>
  </si>
  <si>
    <t>de Fuenlabrada, con el que descabeza, su caber 2 fanegas y 4 celemines, tasada en 1066 rs.: un cuadrito en el mismo camino mas adelante, que le abraza tierra de Doña Juana Pantoja, su caber una fanega escasa, en 650: otra tierra de la berras de los Valdemoros, linde con tierras del marques de Salas y Doña Juana Pantoja, de caber 9 celemines poco menos, en 900: otra donde dicen la Concepción, linde con tierra de las Monjas, de caber una…</t>
  </si>
  <si>
    <t>…nde dicen Camino de Fuenlabrada, con el que descabeza, su caber 2 fanegas y 4 celemi nes, tasada en 1066 rs.: un cuadrito en el mismo camino mas adelante, que le abra za tierra de Doña Juana Pantoja, su caber una fanega escasa, en 650 rs.: otra tier ra á las eras de los Valdemosos, linde con tierras del marques de Sílas y Doña Jua na Pantoja, de caber 9 celemines poco menos, en 900 rs.: otra donde dicen la Concepción, linde con tierra de las monjas, de c…</t>
  </si>
  <si>
    <t>Para, Lamberto Gil P.</t>
  </si>
  <si>
    <t>Lamberto Gil P. Para</t>
  </si>
  <si>
    <t>…Fú car, núm. 8 , encima de la escuela de niños. Oraciones á María Santísima, sacadas de los Santos Padres y doctores de la Igle sia , y de otros escritores piadosos, que da á luz D. Lamberto Gil P. Para formar estas oraciones se han reunido los trozos mas bellos que los Santos Padres y docto res han escrito sobre María Santísima, y se han colocado de modo que sirvan al mis mo tiempo para alabar á la Virgen, para implorar su misericordia, y para promo ver su…</t>
  </si>
  <si>
    <t>Parada, Diego de</t>
  </si>
  <si>
    <t>Diego de Parada</t>
  </si>
  <si>
    <t>…usebio Bardaxí, consejero honora rio de Estado,embajador de Turin ,que á la sazón se hallaba en esta ciudad, cuyos elogios dieron mayor brillo al egercicio. Fueron examinadores el doctor D. Diego de Parada, rector que fue de la Real universidad de Alcalá de He nares; el Dr. D. Julián Mateos de Ramiro, cura párroco de la de S. Pedro de esta ciudad, y los Dres. D. Francisco Blanco y D. Miguel Bovela, mé dicos titulares de la misma. Al examen público precedió otro…</t>
  </si>
  <si>
    <t>Parceló, Sebastian</t>
  </si>
  <si>
    <t>Sebastian Parceló</t>
  </si>
  <si>
    <t>…de el de la entera descarga. 9° Idem los Amigos, patrón Juan Roca, español, procedente de Coslolf, con trigo y centeno, idem, desde el de la entera descarga. Jo. Polacra S. Josef, capitán Sebastian Parceló , español, procedente de Juslevi, con trigo y cebada, idem, desde el de la entera descarga.</t>
  </si>
  <si>
    <t>Pardo, Francisco</t>
  </si>
  <si>
    <t>Francisco Pardo</t>
  </si>
  <si>
    <t>…ía de Valencey : la ayudantía del mismo castillo á D. Manuel Arnau, subteniente del regimiento de infantería de Jaén ; y la primera de la plaza de Santoña, en Castilla la Vieja, á D. Francisco Pardo, teniente del regimiento de infantería de Burgos. También se ha servido nombrar S. M. para la auditoría de Ceuta á Don Antonio García de Veas, auditor que fue del egército de la izquierda. El Rey nuestro Señor se ha servido conceder su Real permiso al comi sa…</t>
  </si>
  <si>
    <t>Pardo, Tomas</t>
  </si>
  <si>
    <t>Tomas Pardo</t>
  </si>
  <si>
    <t>…o, Don Federico Movilla, D. Bernardo Huelga, D. Esteban Blanco, D. Miguel Alonrso, D. Cesáreo Viguera, D. Miguel Chana, D. Antonio Castro, D. Toribio González, D. Santiago Alonso, D. Tomas Pardo, D. Ignacio Ojero, Don Fernando Movilla, D. Manuel Gómez, D. Francisco Rodriguez, D. Alvaro Chaves, D. Fernando García, D. Bernardino Lorenzo y D. Luis de León. El R. P. prior de Sto. Domingo demostró en un discurso que sin la reliion, virtud y buena educació…</t>
  </si>
  <si>
    <t>Paredes, Miguel</t>
  </si>
  <si>
    <t>Miguel Paredes</t>
  </si>
  <si>
    <t>…nce llegué á las Cruces, donde supe que eran en número de 2 5 , y que habían pasado con bastante priesa desde ei dia anterior. A consecuencia, y para poderlos alcanzar, destiné al capitán D. Miguel Paredes y al de igual clase D. Josef de Castro con piquetes suficientes de sus compañías, y mon tados en los mejores caballos, para que los persiguiesen por los distintos ca minos que podían tomar; pero ambos capitanes caminan de acuerdo en sus operaciones, y es como…</t>
  </si>
  <si>
    <t>París, Juan</t>
  </si>
  <si>
    <t>Juan París</t>
  </si>
  <si>
    <t>…ente de Muro&lt; para Salou, con 124 botas de sardina prensada. El dia 8, también apresado sobre Cartagena, entró el londro nuestra Señora del Carmen , de la matrícula de Mataró , su capitán Juan París, procedente de Brandrell para Cádiz, con ioy botas de vino y 25 barriles de aguardiente, ambos apresados á pretexto de no ajustar bien sus contraseñas con la del corsario; examinados sus despachos por este almirantazgo y halládose conformes, luego fueron decl…</t>
  </si>
  <si>
    <t>Parma, Príncipe de</t>
  </si>
  <si>
    <t>Príncipe de Parma</t>
  </si>
  <si>
    <t>…menores los de las campañas siguientes en el sitio de Rosas j en el blo queo de la escuadra enemiga en las islas Sta. Margarita, y en el viage y tras porte desde Liorna del Sermo. Sr. Príncipe de Parma en 1794, teniendo el honor de acompañar á S. A. hasta la corte. Entonces fue ascendido á gene ral , y al año siguiente le dió S. M. el mando de una escuadra para los ma res del Sur, y con tres navios y dos fragatas salió de Cádiz el dia 29 de No viembre de 17…</t>
  </si>
  <si>
    <t>Paron, Francisco Josef</t>
  </si>
  <si>
    <t>Francisco Josef Paron</t>
  </si>
  <si>
    <t>…: 98108 y 98291 D. Antonio de la Torre : 98340 D. Cayetano Luis Maeso: 98403 Com pañía de la Buena Fe: 111630 Doña María del Carmen Corral. — De 150 pesos de Enero de i8c8: 227200 D. Francisco Josef Paron: 239881 Don Francisco Antonio de Rivacoba: 309452, 319396, 32815 8 y 33Sl93 Dorl Juan Diaz Hidalgo___ De 600 pesos de Mayo de 1808 : 381471 D Fran cisco Piañas Casal (de Cataluña): 382806 Domingo de Párramo: 391200, 391541,391732,392840, 393503 y 39^004 D. An…</t>
  </si>
  <si>
    <t>Parra, Vicente Saez y</t>
  </si>
  <si>
    <t>Vicente Saez y Parra</t>
  </si>
  <si>
    <t>335</t>
  </si>
  <si>
    <t>335 5619. 2000 ídem. En Madrid, 78i3 1000 idem, En Bilbao. 36277 1000 idem En Madrid, ARTICULO DE OFICIO. Circular del Ministerio de Hacienda. Con vista de una instancia de D. Vicente Saez y Parra, Oñcial mayor de la Contaduría de Egército de Extremadura, en que pide el abono de la cuarta parte del sueldo de Contador perteneciente al tiempo que ha servido interinamente este empleo en aquella Provincia, según se concedió por Rea les órdenes de 17 de Set…</t>
  </si>
  <si>
    <t>Pas</t>
  </si>
  <si>
    <t>…mismo tiempo mi soberana voluntad dejar expeditos á los reos todos los medios de defensa; he venido en resolver que las causas y sentencias remitidas á consulta por mi comisionado D. Pas cual Quilez y Talón contra varios vecinos de Caspe sean examinadas en unión por D. Bernardo de Riega, de mi consejo y cámara de Castilla; el conde de Torre-Muzquiz, de mi consejo y cámara de Indias, y D. Jaime Aívarez de Mendieta, de mi consejo de Hacienda; q…</t>
  </si>
  <si>
    <t>…de su cumplimiento, cuidando le tengan en esa Provincia. Dios guarde á V. muchos años. Madrid 22 de Marzo de 1817. E! comandante general de las fuerzas marítimas en la Costa-firme D. Pas cual Enrile ha dirigido, con fecha de 17 de Setiembre último, desde el cuar tel general de Sta Fe al Sr. secretario de Estado y del despacho universal de Ma riña el oficio siguiente : „ Aunque no he tenido parte alguno sobre las ocurrencias de mar de la costa…</t>
  </si>
  <si>
    <t>Pas, Francisco</t>
  </si>
  <si>
    <t>Francisco Pas</t>
  </si>
  <si>
    <t>…porro y trabajó con la mayor serenidad; al tenien te del mismo D. Juan del Villar, destinado á las salidas en la torre, tam bién blanco del enemigo; al subteniente del mencionado D. Francisco Pas tor en el hospital inmediato al baluarte de S. Fernando; al alférez de Nueva--España D. Martin Piña destinado igualmente á las salidas por la en trada de México, la que evitó con el mayor valor y entusiasmo , lo mismo que por el rumbo de Tulancingo hizo el de…</t>
  </si>
  <si>
    <t>Pasaña, Demetrio de Orúz y</t>
  </si>
  <si>
    <t>Demetrio de Orúz y Pasaña</t>
  </si>
  <si>
    <t>…S. A. S. menos que los que tienen la felicidad de conocerle de cerca.” ARTICULO DE OFICIO. El Rey nuestro Señor se ha dignado admitir con agrado la siguiente ex posición. „Señor: D. Demetrio de Orúz y Pasaña, del Consejo de V. M., oidor de la Real audiencia de Extremadura, gobernador de la sala del crimen, y subdelegado de Rentas en este partido de Cáceres, hace presente á V. M. con ei mas profundo respeto: Que los 22 pueblos que componen el partido de la subdele…</t>
  </si>
  <si>
    <t>Pascual</t>
  </si>
  <si>
    <t>…rina cristiana; haciendo al mismo tiempo constar su buena conducta. La que se halle dotada de dichas cualidades hará su pretensión , re mitiéndola á la expresada villa al referido D. Pascual; debiendo verificarse en i.° del próximo Noviembre. Principios de cirugía en general, asi en la práctica como en la teórica, segim el estado en que se halla hoy , compuestos por D. Ramón Fernandez para el exa men de los que se dedican al estudio de esta cienc…</t>
  </si>
  <si>
    <t>Pascual, Agustín</t>
  </si>
  <si>
    <t>Agustín Pascual</t>
  </si>
  <si>
    <t>…12 de Mayo, se principiaran las oposiciones en la forma que previenen los estatu tos de dicha escuela, y que se presenrarán á firmarlas ante ei secretario de la junta escolástica D. Agustín Pascual; en la inteligencia que la dotación de esta plaza es de 7,200 reales de vellón al año. 1 os egercicios serán tres diferentes. El i.° consistirá en una disertación sobre un punto sacado á la suerte, y al dia siguiente .después de hacer una exposición verbal so…</t>
  </si>
  <si>
    <t>…nen cuantos adelantamientos se han hecho en estos últimos tiempos en el arte de curar las enfermedades del caballo, y con notas del tribunal actual del Real proto-albeiterato: por D. Agustín Pascual. La Real compañía de impresores y libreros del reino, deseosa de fomentar los co nocimientos útiles, se valió para mejorar esta obra, tan necesaria y útil, del cate drático de veterinaria D. Agustín Pascual, y ha tenido la satisfacción de ver que el tribunal…</t>
  </si>
  <si>
    <t>rio de la Junta escolástica D. Agustín Pascual á firmar la oposición que ha-i yan de hacer en tres dias diferentes. El primer egercicio consistirá en una di.-» sertacion sobre un punto sacado por suerte escrita en el espacio de 24 horas, debiendo satisfacer á las objeciones que sobre ella le hagan dos de…</t>
  </si>
  <si>
    <t>Pascual, Eloy</t>
  </si>
  <si>
    <t>Eloy Pascual</t>
  </si>
  <si>
    <t>…os trataron de todo lo concerniente á la sintaxis, en la que tam bién se acreditaron de aplicados, sobresaliendo entre todos D. Antonio Bue no , concluyendo ambos actos con su dia D. Eloy Pascual con una oración latina. El segundo dia abrió el acto D. Rafael Andreu Artigas, niño de cua tro años, con otra canción, al que siguieron D. Agustín Perez, D. Manuel Palacios y D. Bernabé García, que dieron muestras de su instrucción en la</t>
  </si>
  <si>
    <t>Pascual, Rafael</t>
  </si>
  <si>
    <t>Rafael Pascual</t>
  </si>
  <si>
    <t>…plimentar al Sermo. Sr. Infante D. Cárlos,y contestó manifestando su agradecimiento. El mismo dia se presentó una diputación de la villa de Morella, com puesta de su gobernador el brigadier D. Rafael Pascual, caballero de la orden Real y militar de S. Hermenegildo, y de justicia en la orden de S. Juan; del marques de Sta. Coloma, mayordomo de semana de S. M. con destino ai cuarto del Sermo. Sr. Infante D. Cários; del Sr. D. Luis Beltran , consejero en el supremo…</t>
  </si>
  <si>
    <t>Pasquier</t>
  </si>
  <si>
    <t>…eu, presidente del consejo de ministros; ef marques de Gotivion St. Cyr, ministro de Guerra; Mr. Alient, vice-secretario del mismo ministerio; Mr. Lainé, ministro del Interior; el barón Pasquier, guarda-sellos, y Mr. de Barante, director general de las contribucio nes indirectas. El ministro de la Guerra, tomando la palabra, dijo: ,,Señores: El artí culo 12 de la Carta constitucional prescribe que se determine por una ley el modo de reemplazar el ege…</t>
  </si>
  <si>
    <t>Passley</t>
  </si>
  <si>
    <t>…ente de pólvora para causar la explosión. El experimento cor respondió completamente á la idea que ya se tenia, según el anuncio hecho de la máquina, cuya invención se atribuye al coronel Passley, del cuerpo de zapadores y minadores. Idem 2. Escriben de Brightonque habían llegado ayer allí el conde de Liverpool y lord Castlereagh___ Se esperaba que hubiese hoy un consejo de Gabinete, al que debía concurrir la mayor parte de los ministros. La vigilanci…</t>
  </si>
  <si>
    <t>Pastor, Josef Ventura</t>
  </si>
  <si>
    <t>Josef Ventura Pastor</t>
  </si>
  <si>
    <t>…zos, Astruc, Lebret y Brandelot, con 55 observaciones prácticas é instructivas, y con 24 láminas finas, en las que se demuestran las criaturas al tiempo de su nacimiento: su autor D. Josef Ventura Pastor, cirujano que fue en esta corte: dos tomos en 4.0 Se hallarán en la librería de la viuda de Quiroga, calle de las Carretas, á 54 reales en pasta. El Sepulcro de las delicias del mundo, escrito en francés por Mr. de la Serre, y traducido por el Br. D. Nicolás…</t>
  </si>
  <si>
    <t>Pastor, Manuel</t>
  </si>
  <si>
    <t>Manuel Pastor</t>
  </si>
  <si>
    <t>…; y no es fácil ma nifestar el despejo con que egercitaron, y la claridad con que expresaron sus respectivos conocimientos. En seguida se presentaron dibujos de los discípu los de D. Manuel Pastor, que merecieron justamente el aprecio de los inte ligentes. A vista de esto era difícil discernirlos niños mas sobresalientes; pero des pués de la mas exacta comparación fueron premiados en leer y en historia sa grada Manuel Ruedas con el primer premio; Carlo…</t>
  </si>
  <si>
    <t>Patino, Josef Mariano</t>
  </si>
  <si>
    <t>Josef Mariano Patino</t>
  </si>
  <si>
    <t>…llaves de la misma: la de la de S. Agustín de la Florida á D. Eusebio Caro, teniente de la plana mayor de blancos, agregado al cuerpo de pardos: la se gunda de la de Puerto-Rico á D. Josef Mariano Patino, subteniente gradua do de infantería: la segunda de la de Cuba á D. Josef Leite Vidal, soldado distinguido de infantería; y la capitanía de llaves de la de Santo Domingo á D. Nicolás Saiz, sargento primero del cuerpo veterano de la misma. En atención al mérit…</t>
  </si>
  <si>
    <t>Patiño, Ramón Fernando</t>
  </si>
  <si>
    <t>Ramón Fernando Patiño</t>
  </si>
  <si>
    <t>…, se ha servido el Rey promoverle á capitán general de su Real armada. El dia 9 de Enero último falleció en la plaza de Málaga, á los 63 años, 6 meses y 15 dias de edad, el Excmo. Sr. D. Ramón Fernando Patiño, mar ques del Castelar y de la Sierra , Grande de España de primera clase, capitán general de los Reales egércitos, gentilhombre de Cámara de S. M. con egercicio, gran cruz de la Real y distinguida orden española de Carlos m , de la Real y militar de S. Herme…</t>
  </si>
  <si>
    <t>Pato, Agustín Alvarez</t>
  </si>
  <si>
    <t>Agustín Alvarez Pato</t>
  </si>
  <si>
    <t>…s en la península, y otros incidentes de la invasión enemiga. Explicación del Padre nuestro, escrita por el gran padre de la igles:a S. Cipria no, obispo de Cartago, traducida por D. Agustín Alvarez Pato, é impresa en lypz. Véndese á 2 rs. en papel en el almacén de la imprenta Real. EN LA IMPRENTA REAL.</t>
  </si>
  <si>
    <t>Patriarca</t>
  </si>
  <si>
    <t>…mas de la Reina y mugeres de gefes de palacio. A las 11 y media se anunció en la Real capilla por un mayordomo de semana la salida del festejo del cuarto del Rey nuestro Señor. El cardenal Patriarca, quien dijo la misa, salió á recibir á S. M. á la puerta de la iglesia, según previene el ritual romano: el festejo iba en la forma siguiente: porteros del Consejo ,, alcaldes de casa y corte, con sus varas, y en medio el ayuda de furriéra, pages del Rey con…</t>
  </si>
  <si>
    <t>Patriarca, Cardenal</t>
  </si>
  <si>
    <t>Cardenal Patriarca</t>
  </si>
  <si>
    <t>…e capilla cuando le asigne algunas pasiones ó le cite para algún egercicio que ocurra en servicio de ella. Los aspirantes á la referida plaza presentarán en la secretaría del Emo. Sr. Cardenal Patriarca de las Indias su memorial con la fe de bautismo legalizada en ei término de 40 dias, conta dos desde 29 de Agosto último, y que fenecerán en 7 de Octubre de 1817. La ciudad de Lluete, en la provincia de Cuenca, ha obtenido, á consul ta de S. M. hecha por el R…</t>
  </si>
  <si>
    <t>Paula</t>
  </si>
  <si>
    <t>…el fuego del enemigo. A las cinco y media de ¡a tar de ilegó el cuerpo de egército, y se trabó la batalla en el sitio llamado Guer ra , hallándose al frente el mayor Gordilho y el capitán Paula, que manda ba la artillería , y fue quien rompió el fuego, t.a acción Juró hasta !a no he y se distinguieron mucho en ella los dos mayores Salvador y Gordilho. F el discurso de la noche se dispersaron los insurgentes, á quienes perógu1 los cuerpos mandados po…</t>
  </si>
  <si>
    <t>Paula, Infante U- Francisco de</t>
  </si>
  <si>
    <t>Infante U- Francisco de Paula</t>
  </si>
  <si>
    <t>…correspondientes á las mismas provincias del Rhin. Aun no se ha resuelto con quién han de entenderse los ministros diplomáticos durante 1* ausencia del canciller. S. A. el Sermo. Sr. Infante U- Francisco de Paula se ausentó de Dresde él 12 del corriente, y el Rey de Saxonia,antes de la despedida d9 S. A., le confirió la orden de su casa llamada dé la Corona Verde.</t>
  </si>
  <si>
    <t>Paulo</t>
  </si>
  <si>
    <t>…ublicado una noticia biográfica muy curiosa sobre el difunto Rey de Wurtemberg. Resulta de este escrito que aquel Mo narca, siendo aun Príncipe, hizo un viage á Italia con el gran duque Paulo, que después fue Emperador de Rusia: en seguida entró al servicio de aquel imperio en clase de general, y en esta calidad egerció el cargo de goberna dor general de la Finlandia rusa 3' después de Cherson , habiendo contribuido con sus sabias disposiciones á…</t>
  </si>
  <si>
    <t>Pauw</t>
  </si>
  <si>
    <t>…quesa de Rusia, esposa de S. A. R. el Príncipe de Orange, asistió ayer mañana, por primera vez después de su feliz parto, al oficio celebrado en la iglesia de los Agustinos por el caballero Pauw, que es el mas antiguo de los ministros de la iglesia protestante holandesa. Concurrie ron con los Reyes el Príncipe Federico de los Países-Bajos, SS. AA. RR. las Princesas viudas de Orange y de Brunwick, los principales empleados del Estado, y muchos caballe…</t>
  </si>
  <si>
    <t>Pavía, Francisco</t>
  </si>
  <si>
    <t>Francisco Pavía</t>
  </si>
  <si>
    <t>…1817. El Rey nuestro Señor se ha servido conceder los empleos siguientes t El gobierno del castillo de la Mota, dependiente de la plaza de S. Sebas tian, en Guipúzcoa, al teniente coronel D. Francisco Pavía , capitán agrega do al regimiento de infantería de Valenqey: el del castillo de Sanlúcar de Guadiana, en Andalucía, al teniente D. Tiburcio Torres r subteniente del re gimiento de infantería de Lorena: la sargentía mayor de la plaza de Hostalrich al capitán D…</t>
  </si>
  <si>
    <t>Pavía, Josef</t>
  </si>
  <si>
    <t>Josef Pavía</t>
  </si>
  <si>
    <t>…losión ocasionó un incendio horroroso, y finalmente el verme fondear. Ar mados bote y lancha á las órdenes aquella del teniente de navio D. Juan Vi‘godet, y el bote dei de fragata D. Josef Pavía, les di las de abordar á la fragata, apoderarse de ella, sacarla fuera del tiro de la tierra, y al ultimo también las de incendiar al bergantín Neptuno. Al ver acercarse mi lancha y bote abandonaron sus cobardes defensores la fragata, y se refugiaron á tierra…</t>
  </si>
  <si>
    <t>Pavón, Pablo</t>
  </si>
  <si>
    <t>Pablo Pavón</t>
  </si>
  <si>
    <t>…dríguez Ferrer, de Moron : en sintaxis, prosodia y arte métrica D. Benito de Salas y Vida! y D. Luis García Monge, ambos de Lebrija: en rudimentos D. Juan Fayula, D. Pedro Garfia, D. Pablo Pavón, D. Juan de Quintaniila, D. Francisco Xavier Morales, D. Rafael Muñoz, todos de Lebrija, y D. Francisco de Paula González y Peña, de Sanlucar de Barrameda : en gramática castella na D. Josef Perez de la Torre de las montañas de Santander, y D. Josef Ma ría Mo…</t>
  </si>
  <si>
    <t>Pawlowitz, Nicolás</t>
  </si>
  <si>
    <t>Nicolás Pawlowitz</t>
  </si>
  <si>
    <t>…mada madre la Emperatriz María Fedorowna, hemos re suelto, de acuerdo con el Rey de Prusia Federico Guillermo 111, acceder ai deseo manifestado por nuestro querido hermano el gran duque Nicolás Pawlowitz, dándole por esposa á la Princesa Carlota, hija de aquel augusto Mo narca. El 24 de Junio entró S. A. R. en la comunidad de la iglesia orto doxa griega, y recibió el nombre de Alejandrina Fedorowna. ,,El 25 se celebraron los desposorios en la capilla del pala…</t>
  </si>
  <si>
    <t>Payan, Elias Izquierdo y</t>
  </si>
  <si>
    <t>Elias Izquierdo y Payan</t>
  </si>
  <si>
    <t>…masa y bienes del concurso de Ja referida compañía, ó intenten deducir privilegio, para que eto el término de 24 me ses acudan á deducirlos ante el mismo tribunal y escribanía de D. Elias Izquierdo y Payan, escribano de cámara del Rey nuestro Señor, y mayor teniente del expresa do tribunal, presentando los documentos que comprueben dichos derechos, ó en que hagan consistir sus privilegios; con apercibimiento de que pasado este término, los pagos y repartos se h…</t>
  </si>
  <si>
    <t>…les parará el per juicio que haya lugar. En el concurso de acreedores á los bienes de D. Ricardo Gong, que pende en el tribunal del Real consulado de Cádiz, y por la escribanía de D. Elias Izquierdo y Payan, se ha señalado por providencia de 21 de Abril último el término de 18 meses, para que dentro de él acudan á deducir sus derechos los que se crean tenerlo á dichos bienes del expresado Goug; en inteligencia de que pasado este término se procederá al cancclami…</t>
  </si>
  <si>
    <t>…rer en 28 de Febrero de este ario, á fin de que les pare el perjuicio que haya lugar. Por decreto1 del Real tribunal del consulado de comercio de Cádiz, dictado an te el escribano D. Elias Izquierdo y Payan , en autos núm. 477 del año pasado de 1796, se manda’citar y emplazar á cualquiera que se considere con derecho al con curso y masa de' acreedores á Ja,-;testamentaría de D. Pablo Mayo, para que en el preciso término de 12 meses acudan á formalizarlo con los…</t>
  </si>
  <si>
    <t>…este ha exigido para la satisfacción de la segunda, dándole el debido testimonio. Por decreto del Real tribunal del consulado de comercio de Cádiz, dictado ante su escribano mayor teniente D. Elias Izquierdo y Payan, en los autos de con curso de D. Juan Bruta, se cita y emplaza á cuantos se estimen con derecho á di cho concurso y masa, para que en el perentorio término de seis meses se presenten á deducirlo con los documentos que los comprueben; pues pasado dicho término…</t>
  </si>
  <si>
    <t>…prevención que de ningún modo se recibirá proposición que no abrace los tres ramos de salitre, azu fre y pólvora. El Real tribunal del Consulado de Cádiz, ante su escribano mayor teniente Don Elias Izquierdo y Payan, ha decretado en 5 del corriente citar y emplazar á cua lesquiera que se consideren con derecho á los bienes de la masa y concurso de acree dores á D. Josef Ciriza, para que en el término de 10 meses comparezcan á dedu cirlo con los documentos que les comprue…</t>
  </si>
  <si>
    <t>Payés, Cosme</t>
  </si>
  <si>
    <t>Cosme Payés</t>
  </si>
  <si>
    <t>…........... 1 8 64 8r *7 1 9 Nota. Los oficiales muertos son el capitán de cazadores del batallón de Ja Reina Doña Isabel D. EIoyiGarcía y el subteniente del regimiento de Navarra D. Cosme Payés. Los heridos son el comandante de Burgos, eefe de estado mayor de la división expedicionaria, D. Agustín Otermin, el adicto á dicha división D. León Iturbe , el capitán graduado de teniente coronel Don Juan Nepomuceno Montero, los tenientes D. Bernardo Vara y…</t>
  </si>
  <si>
    <t>…María Chacón, el de la misma clase D. Francisco Topete, y el te niente de navio D. Antonio Quintano. Por último hace una distinguida memoria de las recomendables prendas del joven D. Cosme Payés, teniente del regimiento de Navarra, que pereció gloriosamente, y cuya familia recomienda á la consideración del Soberano. Ocupación del pueblo de Porlamar. La absoluta falra de agua y la necesidad de atravesar desiertos arenales de terminaron al general en g…</t>
  </si>
  <si>
    <t>Paz, Bartolomé Ortiz de</t>
  </si>
  <si>
    <t>Bartolomé Ortiz de Paz</t>
  </si>
  <si>
    <t>…de S. M., su presidente , D„ Leonardo Gil de la Cuesta, y Don Bernardo González Alvarez, fiscal y procurador general, y de los cuatro caballeros D. Josef Hidalgo, D. Miguel Lujan, D. Bartolomé Ortiz de Paz y D. Amaro García Olalla, que representaban las cuatro sierras nevadas ó partidos de Soria, Cuenca, Segovia y León de que se compone dicho hon rado concejo; y el primero dijo: ,,Señor: El honrado concejo de la Mesta (ó hablando según la declara ción del Sr. D. Henrique ív la R…</t>
  </si>
  <si>
    <t>Paz, Francisco Cándido de</t>
  </si>
  <si>
    <t>Francisco Cándido de Paz</t>
  </si>
  <si>
    <t>…a á V. para que disponga su mas exacta y puntual observancia en toda esa provincia; dando aviso de su recibo. Ma drid 17 de Agosto de 1817. Por providencia de 20 del corriente del Sr. D. Francisco Cándido de Paz, del Consejo de S. M. y alcalde en su Real casa y corte, está mandada sacar á pública subasta por término de 20 dias una huerta con su casa dentro de ella, que se halla en el sitio que nombran de las Peñuelas, en los confines del portillo de Valencia de esta…</t>
  </si>
  <si>
    <t>Paz, Miguel</t>
  </si>
  <si>
    <t>Miguel Paz</t>
  </si>
  <si>
    <t>…o. = Excmo. Sr. virey D. Juan Ruiz de Apodaca. Parte del teniente coronel D. Francisco de Paula Caminero. Con fecha de hoy á las 12 del dia me dice el teniente coronel de Tíascala D. Miguel Paz lo que copio: ,,Mi estimado amigo y compañero: A las 5 de la tarde del dia de ayer recibí la noticia de la toma del Chiquihuite y puente de Atoyac, que me participo el amigo Hevia, y dice lo siguiente: ,,Puente de Atoyac 27 de Febrero de 1817*. Sr. D. Miguel…</t>
  </si>
  <si>
    <t>Pe</t>
  </si>
  <si>
    <t>…on, prior y cónsules del consulado de Alicante; dignándose aprobar S. M. el nombramiento de catedrático para la primera en IX Claudio Boutelou,. y para la segunda en el presbítero D. Pe dro Baille y Laviña * siendo de su soberana satisfacción el zelo é ínteres con que dicho consulado ha cooperado á sus paternales miras por la felicidad de</t>
  </si>
  <si>
    <t>…ne mucha armonía, le estimu lará tai vez á emprender alguna expedición contra el bajá de Egipto. Ñapóles 29 de Marzo. Habiendo llegado á esta capital el 25 del corriente el Excmo. Sr. D. Pe dro Cevallos, embajador de S. M. Católica cerca del Rey de las Dos Sicilias, fue recibido en primera audiencia á entregar sus credenciales en la ma ñana del 28; y practicadas todas las ceremonias que son de costumbre en iguales casos, expuso el embajador en u…</t>
  </si>
  <si>
    <t>…de la audiencia de Puerto-Príncipe; Don Mariano Ruiz de Navainuel, dignidad de la catedral de Chile; D. Francisco Pablo Vázquez , dignidad de la catedral de Puebla de los Angeles; D. Pe dro Perez Muñoz, vecino de Quito; D. Mateo de Agüero Marcos, secreta rio general interino de la orden, y al capitán de navio D. Alejandro Gu tiérrez de Ruvalcaba. Cruces de Caballeros A los Sres. D. Marcos Francisco Rivas, presbítero, domiciliado en Cara cas…</t>
  </si>
  <si>
    <t>Pé, Manuel Darnian</t>
  </si>
  <si>
    <t>Manuel Darnian Pé</t>
  </si>
  <si>
    <t>…berán los que han de ser discípulos del catedrático Don Vicente Soriano presentarse en la plazuela de la Leña, núm. 20, cuarto principal, al secretario del Real estudio de Clínica D. Manuel Darnian Pé rez en los dias 8 y 9 del corriente desde las diez de la mañana hasta las dos de la tarde. En el lugar de Concejero del Real valle de Mena, obispado de Santander, se halla vacante la cátedra de latinidad, fundada nuevamente, y dotada en 4© rs. anua les, con d…</t>
  </si>
  <si>
    <t>Pedregal, Fermín del</t>
  </si>
  <si>
    <t>Fermín del Pedregal</t>
  </si>
  <si>
    <t>…ca Don Felipe Martínez , D. Antonio Ramón Zarneza, D. Joaquín Clavareza, Don Manuel María Ribero, D. Manuel Diaz, D. Vicente Rey, D. Anronio de Prado, D. Manuel Rodríguez Almeida, D. Fermín del Pedregal y D. Ra món Casal. En álgebra D. Josef Pujadas y D. Fermín Galccran. En geometría el citado Martínez , D. Josef María Loureiro, D. Manuel María Vicario , Don Cosme Arias, D. Josef Alonso, D. Benito Pereira, D. Florencio Pereira, D. Juan Francisco Rodríguez, D. Josef…</t>
  </si>
  <si>
    <t>Pedro</t>
  </si>
  <si>
    <t>…. Viena $ de Diciembre. Se espera aqui de Rio-Janeiro á un gentilhombre portugués, que debe traer al marques de Marialba, embajador de Portugal, el retrato de S. A. R. el Príncipe D. Pedro,para presentársele á S. A. I. la archiduquesa Leopoldina. Esta Señora ha enviado á llamar á varios naturalistas que han residido algún tiempo en el Brasil, y ha conferenciado largamente con ellos sobre todo lo concerniente á aquel pais. Se asegura que acompañ…</t>
  </si>
  <si>
    <t>…os indistintamente eran dig nos de ser premiados, como asi se hizo, distinguiendo no obstante con un primer premio á D. Benito Carretero; un segundo á D. Angel Mata; un ter cero á D. Pedro de la Santa Calleja, y otro á D.Isidoro Preciado. Madrid $ de Marzo. El día 8 del pasado tuvo la honra de felicitar á SS. MM. por su augusto enlace á nombre de la villa de Cañizares el Dr. D. Juan Nepomuceno Fue ro; quien entre otras cosas dijo lo siguiente:…</t>
  </si>
  <si>
    <t>…ares ó patriotas que hubieren muerto en defensa de la justa causa de la nación, ha cabido en suerte del primer extracto de la de este dia á Doña Francisca Bayon, hija del patriota D. Pedro, muerto en el campo del honor. ARTICULO DE OFICIO. En 18 de Marzo último se sirvió el Rey nuestro Señor dirigir al decano del Consejo el Real decreto siguiente: „ En atención al distinguido mérito , señalados servicios y relevantes circunstancias del brigadie…</t>
  </si>
  <si>
    <t>…ha mandado citar y emplazar, como desde luego se hace, á D. Pedro Fernandez Cuenca, hermano del D. Josef, por hallarse ausente sin saberse su paradero, ó á los herederos del mismo D. Pedro, para que en el término de un año se presenten á percibir el haber que les ha correspondido como herederos legítimos abintestato del D. Josef; con apercibimiento que pasado sin verificarlo, se adjudicará á los de más hermanos, como lo han pretendido, y se pro…</t>
  </si>
  <si>
    <t>…de 18 r 5 , por la cual fui servido elevar el estado del Brasil á la dignidad de reino, uniéndole á los estados de Portugal y de los Aigarbes; y querien do ademas que el Príncipe D. Pedro, mi muy caro y amado hijo primogé nito, y todos los demas Príncipes que fueren primogénitos de esta corona, gocen de un título aun mas preeminente y adecuado á la susodicha unión, tengo por bien que dicho Príncipe, mi hijo, lleve en adelanre el título de PRIN…</t>
  </si>
  <si>
    <t>…B o F 1 e 10. Por ministerio de Gracia y Justicia se ha comunicado la Real resolu- ..el .Clon sIgulente: El ltEY nuestro Señor, en vista de lo expuesto por el corregidor de Lorca D. Pedro de la Puen~e., acerca de haber conseguido por m~dlO de sus acertadas disposiciones exterminar una cuadrilla de malhechores t con Inuerte de su capitan, y arresto de cuatro de dichos bandidos y de todos sus auxiliadores, se ha servido mandar se deo gracias en…</t>
  </si>
  <si>
    <t>…uente, canónigo de la catedral de Segovia, y director del Real hospicio de esta corte; D. Manuel Menoyo, tesorero de la provincia de Toledo; D. Luí* Peñalver, vecino de la Havana; D. Pedro oainz de Baranda, vocal de la junta de dirección de la Real casa de niños desamparados ; D. Santiago Antonio Ilarraza, capellán de honor de S. M , con opcion a la de numero; D. Ignacio Gutiérrez Solana, veedor general de la Real casa, D, Francisco Fernandez d…</t>
  </si>
  <si>
    <t>…iyares, y al ministro del Consejo supremo de Indias D. Josef Aicinena, Comendadores Al mariscal de campo D. Josef María Jalón; á los brigadieres marques de Sta. Cruz de Rivadulla; D. Pedro de la Cuesta; D. Ciríaco de Llano; D. Juan Josef Olazabal; á D. Juan Hernández de Alba, oidor de la au diencia de Puerto-Príncipe; D. Martin Gil y Garcés, deán de la catedral de Valladolid de Mechoacan; al capitán de navio D. Juan Jacinto de Vargas; D. Antoni…</t>
  </si>
  <si>
    <t>…a á D. Ramón Gravoleda, teniente del de Bailen: la del castillo de Monjuich de Barcelona á D. Bernardo Monserrat, subteniente del mismo cuerpo: la segunda de la plaza de Gerona al teniente D. Pedro de la Muda, subteniente del regimiento de infantería de Africa: la primera de la de Rosas á D. Francisco Dicroh, alférez de dragones de la Reina : la segun da de la misma plaza á D. Gines Cánovas, sargento primero de dragones de Almansa; y la segunda de la pl…</t>
  </si>
  <si>
    <t>Pedro, Juan</t>
  </si>
  <si>
    <t>Juan Pedro</t>
  </si>
  <si>
    <t>Para el de Cuenca en Salamanca. Rector D. Hermenegildo Fernandez Cuadrillero. Consiliario i.° D. Juan Pedro Da^uerre y Larroder. Idem 2.0 D. Josef Diaz Rábago. Idem 3.0 Don Josef María Anchuelo y Guzman. Capellán D, León Ramón del Valle. Para el de Oviedo en Salamanca. Rector D. Manuel Luciano Alemán. Consiliario i.° D. Manuel Barrio Ayuso. Idem 2.0 D. Antonio Gonzále…</t>
  </si>
  <si>
    <t>Pedro, Justo Saenz de S.</t>
  </si>
  <si>
    <t>Justo Saenz de S. Pedro</t>
  </si>
  <si>
    <t>…m 2.0 D. Clemente García Escudero y Urrutia. Idem 3.0 D. Pablo Govantes. D. Marcos Galan , D. Antonio Castellano y Cabrejano, D. Juan González Miranda, D. Antonio Arias de Prada , D. Justo Saenz de S. Pedro, D. Gabriel Ceruelo de Velasco y D. Josef Sacasa. Capellán D. Francisco Carpintero y Eraso. Para el de S. Bartolomé en Salamanca. Rector D. Ramón de Aguilar Fernandez de Córdoba. Consiliario T.° Don Anselmo de Isla Manrique. Idem 2° D. Ambrosio de Velasco y O…</t>
  </si>
  <si>
    <t>Pedrosa, Juan Luxigo de</t>
  </si>
  <si>
    <t>Juan Luxigo de Pedrosa</t>
  </si>
  <si>
    <t>…avía en el dia destinos de la mayor consideración. En virtud de esto los patronos de sangre del expresado colegio poseídos de las benéficas ideas del glorioso fundador , y el Lie. D. Juan Luxigo de Pedrosa, alcalde mayor por S. M. de dicha villa, y gobernador del Real condado de Manzanares, movidos de su ilustrado zelo, no perdonaron medio ni fatiga para restablecer un establecimiento que fue y será manantial del lustre, y glorias de sus familias y de sus puebl…</t>
  </si>
  <si>
    <t>Pelayo, Angela</t>
  </si>
  <si>
    <t>Angela Pelayo</t>
  </si>
  <si>
    <t>…el presente para que concurran á la expresada junta el indicado dia y hora; apercibidos que de no hacer» lo les parará el perjuicio que haya lugar. Se desea saber la existencia de Doña Angela Pelayo, muger que fue de Don Aíanasio Morrondo, ó quien represente su persona, para comunicarla un asunto que la interesa, preguntando por D. Tomas Lozano, capellán de nuestra Señora del monte de Piedad , que vive en dicha casa cuarto segundo. Se desea saber el para…</t>
  </si>
  <si>
    <t>Peña, Antonio González y</t>
  </si>
  <si>
    <t>Antonio González y Peña</t>
  </si>
  <si>
    <t>…o este egercicio, que fue mezclado entre cada uno de sus objetos de porción de fábulas de Iriarte y Samaniego, que dijeron de memoria mu chos de los alumnos, pronunció un discurso D. Antonio González y Peña, de edad de seis años, manifestando la utilidad que resulta á la religión y al estado del método de enseñanza demostrado en estos exámenes, y que se guía esta escuela. Fue numeroso el concurso de personas distinguidas de ambos sexos que presenciaron este acto…</t>
  </si>
  <si>
    <t>Peña, Francisco de Paula González y</t>
  </si>
  <si>
    <t>Francisco de Paula González y Peña</t>
  </si>
  <si>
    <t>…a Monge, ambos de Lebrija: en rudimentos D. Juan Fayula, D. Pedro Garfia, D. Pablo Pavón, D. Juan de Quintaniila, D. Francisco Xavier Morales, D. Rafael Muñoz, todos de Lebrija, y D. Francisco de Paula González y Peña, de Sanlucar de Barrameda : en gramática castella na D. Josef Perez de la Torre de las montañas de Santander, y D. Josef Ma ría Moreno, de Xerez de la Frontera ; y por último en ortografía castellana é historia de la religión D. Francisco de Paula Osuna, de M…</t>
  </si>
  <si>
    <t>Peraira, María Francisca</t>
  </si>
  <si>
    <t>María Francisca Peraira</t>
  </si>
  <si>
    <t>…nitiva que cor responda, y Ies parará el perjuicio que haya lugar. Quien supiere del destino de D. Isidro Mendoza, natural de Salamanca, y veci no de Madrid, hijo de D. Ramón y de Doña María Francisca Peraira, que casó en la Membrilla, provincia de la Mancha, con Doña Eugenia García Nuñez, y salló de la Coruña en el año de 1811 con dirección á Granada, tendrá la bondad de no ticiarlo al cura párroco del mismo pueblo de la Membrilla. Nota. En la gaceta anterior, pá…</t>
  </si>
  <si>
    <t>Peralta, Alonso Nuñez de Haro y</t>
  </si>
  <si>
    <t>Alonso Nuñez de Haro y Peralta</t>
  </si>
  <si>
    <t>…ecinos. Los preten dientes dirigirán sus memoriales al ayuntamiento de dicha villa. Sermones escogidos morales y panegíricos, pláticas espirituales y cartas pastora les del Excmo. Sr. D. Alonso Nuñez de Haro y Peralta, virey interino, goberna dor y capitán general que fue de Nueva*España, caballero prelado gran cruz de la Real orden española de Carlos m, del Cónsejo de S. M., arzobispo de México &amp;c., con el retrato del autor y un resúmen de su vida: 3 tomos en 4.0 Se halla…</t>
  </si>
  <si>
    <t>Peralta, Matías</t>
  </si>
  <si>
    <t>Matías Peralta</t>
  </si>
  <si>
    <t>…untarios de la Victoria, En España. El gobierno del fuerte de Marín en Galicia á D. Joaquín García , teniente del regimiento provincial de Tuy : la ayudantía de la plaza de Jaca á D. Matías Peralta, teniente del regimiento de infantería de Burgos, y la sexta de la de Barcelona á D. Joaquín Chivras, alférez del regimiento, de caballería de Alcántara. El empleo de comisario de Guerra á D. Josef Abella Estrada, Por los distinguidos méritos que ha contraído…</t>
  </si>
  <si>
    <t>Peredo, Claudio Ruiz de Eguilaz y</t>
  </si>
  <si>
    <t>Claudio Ruiz de Eguilaz y Peredo</t>
  </si>
  <si>
    <t>…dibujo, y lapi ceros, de plata con porción de lápiz fino. Fueron los premiados como extra ordinario D. Juan Manuel Mico Cagigas ; en primera clase IX Ramón de 1&amp; Carrera Estrada y D. Claudio Ruiz de Eguilaz y Peredo ; en segunda Don Juan Hernando y IX Gaspar de Rivas , yen tercera D. Rafael García y D. Domingo Rogi; pues otros que habían acreditado su aplicación , se les es timuló á continuar en ella, á fin de merecer en el-siguiente año ser premiados.» León 12 de Junio…</t>
  </si>
  <si>
    <t>Pereira, Benito</t>
  </si>
  <si>
    <t>Benito Pereira</t>
  </si>
  <si>
    <t>…món Casal. En álgebra D. Josef Pujadas y D. Fermín Galccran. En geometría el citado Martínez , D. Josef María Loureiro, D. Manuel María Vicario , Don Cosme Arias, D. Josef Alonso, D. Benito Pereira, D. Florencio Pereira, D. Juan Francisco Rodríguez, D. Josef Vicente Veiga, D. Joseí Abad y D. Gregorio Cancela. En trigonometría plana los mismos Martínez , Lourei ro, Galceran, Vicario, Arias, Pujadas, Cancela , D. Benito y D. Florencio Pereira, D. Josef Pe…</t>
  </si>
  <si>
    <t>Pereira, Florencio</t>
  </si>
  <si>
    <t>Florencio Pereira</t>
  </si>
  <si>
    <t>…ra D. Josef Pujadas y D. Fermín Galccran. En geometría el citado Martínez , D. Josef María Loureiro, D. Manuel María Vicario , Don Cosme Arias, D. Josef Alonso, D. Benito Pereira, D. Florencio Pereira, D. Juan Francisco Rodríguez, D. Josef Vicente Veiga, D. Joseí Abad y D. Gregorio Cancela. En trigonometría plana los mismos Martínez , Lourei ro, Galceran, Vicario, Arias, Pujadas, Cancela , D. Benito y D. Florencio Pereira, D. Josef Perez, D. Ignacio Palaci…</t>
  </si>
  <si>
    <t>Perez</t>
  </si>
  <si>
    <t>…para perse guir á diversas gavillas de rebeldes que infestaban los pueblos entre Tehua can j Tepexi y Huaxaman; y en Charumba logró aprehender el 29 del úl timo Enero al expresado capitán Perez, á su segundo y á 14 rebeldes que le seguían con 12 fusiles; y en el momento que esto escribía el ayudante iba á desenterrar el canon y siete cajones de municiones que tenían ocultos: les co gió también algunas pistolas y trabucos, algunos sables y machetes,…</t>
  </si>
  <si>
    <t>Perez, Agustín</t>
  </si>
  <si>
    <t>Agustín Perez</t>
  </si>
  <si>
    <t>…endo ambos actos con su dia D. Eloy Pascual con una oración latina. El segundo dia abrió el acto D. Rafael Andreu Artigas, niño de cua tro años, con otra canción, al que siguieron D. Agustín Perez, D. Manuel Palacios y D. Bernabé García, que dieron muestras de su instrucción en la</t>
  </si>
  <si>
    <t>sintaxis, sobresaliendo D. Agustín Perez. En seguida y en la clase de mayo res y retórica D. Pedro Grima, D. Miguel Martinez, D. Mariano Martínez y D. Eloy Pascual, que también manifestaron su aplicación y adelantamien tos, siendo el mas sobresaliente de ellos D. Pedro Grima. Todos los concurrentes…</t>
  </si>
  <si>
    <t>Perez, Alonso López</t>
  </si>
  <si>
    <t>Alonso López Perez</t>
  </si>
  <si>
    <t>…s informes de los que les parezca mas beneméritos. En el correo de Andalucía de la última semana de Diciembre se extravío un pliego con 17 vales Reales de á 300 pesos, dirigidos á D. Alonso López Perez, residente en esta corte , y endosados á su favor para el tanteo y consumo de ciertos oficios perpetuos de regidores y otros. La persona en quien se hallen , ó tenga no ticia de ellos, se servirá entregarlos en el despacho de la imprenta Real. Calendario gene…</t>
  </si>
  <si>
    <t>Perez, Andrés Tadeo</t>
  </si>
  <si>
    <t>Andrés Tadeo Perez</t>
  </si>
  <si>
    <t>…del corriente, refrendada de D. Alfonso del Pozo, escribano de S. M. y del juzgado de Reales caballerizas y demas ramos agregados, se ha señalado para nueva junta de acreedores á D. Andrés Tadeo Perez, maestro de coches de las mis mas, el dia 30 del presente mes á lás ocho dé su mañana en el tribunal de la Real casa y patrimonio, sito en la calle y casa de la Cruzada; lo que se anuncia á todos los interesados para que por sí ó por medio de legítimos repres…</t>
  </si>
  <si>
    <t>…no lo haciendo les parará el per juicio que haya lugar, y dar á los autos el curso que corresponda con arreglo á su estado. No habiendo quedado conformes en nada los acreedores de D. Andrés Tadeo Perez, vecino de esta corte, y maestro de coches de la Real casa, en la junta que entre varios de ellos se celebró el día 30 de Octubre próximo anterior en el tribu nal de la misma; y presentádose por el D. Andrés en 13 del que rige pedimento, haciendo por él nueva…</t>
  </si>
  <si>
    <t>Perez, Antonio Javier</t>
  </si>
  <si>
    <t>Antonio Javier Perez</t>
  </si>
  <si>
    <t>…Iglesias de Bernardo, y en Santo Domingo de ia Calzada en casa de Doña Prudencia Villacian, á 6 rs. en pergami no y 8 en pasta. Discurso sobre la honra y deshonra legal, por el Dr.D. Antonio Javier Perez, impreso en iyB6, á 6 rs. en papel. Véndese en el almacén de la imprenta Real. Teófilo de Solincour, ó la virtud sacrificada, traducido por el autor de la Ama lia. Esta obra consagrada á inspirar y hacer amable la virtud á los jóvenes, contiene pensamientos f…</t>
  </si>
  <si>
    <t>Pérez, Antonio Joaquín</t>
  </si>
  <si>
    <t>Antonio Joaquín Pérez</t>
  </si>
  <si>
    <t>…de dicha santa iglesia &gt; al Dr. D. Josef Félix Flores Alatorre ; y para la magistral de la catedral de la Puebla de los Angeles, vacante por pro moción á la mitra de ella del Dr. D. Antonio Joaquín Pérez, al Dr. D. Ma nuel Perez y Suarez. Habiendo fallecido la Archiduquesa Hermfna, esposa del Archiduque Jo sef Palatino de Hungría, se ha dignado mandar S. M. que la corte se vista de luto durante nueve dias, que deberán empezar á contarse desde el viernes próxi…</t>
  </si>
  <si>
    <t>Perez, Eugenio</t>
  </si>
  <si>
    <t>Eugenio Perez</t>
  </si>
  <si>
    <t>…200 pagados mensualmente de las rentas de U iglesia, y los otros por los niños tjue asistan. Los pretendientes que esten exami nados y tengan Real título dirLi án sus memoriales á D. Eugenio Perez, cura pro pio de dicha villa, hasta i.° de Abril. Guia de la grand-za para el cumplimiento de los días y años de los Excelentísi mos Sres. grandes de España, corregida y aumentada de un plan estadístico de to das las grandezas de España, con sus títulos, apel…</t>
  </si>
  <si>
    <t>Perez, Fernando</t>
  </si>
  <si>
    <t>Fernando Perez</t>
  </si>
  <si>
    <t>…nsejos, que vive calle de la Concepción, núm. 19, cuarto 3.0, quien tiene que hacer saber á dicho D. Antonio un asunto que le interesa. Carta y defensa de Paracueiios, escrita por D. Fernando Perez á un sobrino que se hallaba en peligro de ser autor de un libro: un tomo en 8.° á 10 rs. en pasta y 8 á la holandesa. ~ Instrucción militar cristiana para uso de los caballeros cadetes del Real colegio militar de Segovia, traducida del francés por el capitán…</t>
  </si>
  <si>
    <t>Perez, Josef</t>
  </si>
  <si>
    <t>Josef Perez</t>
  </si>
  <si>
    <t>…. Juan de Quintaniila, D. Francisco Xavier Morales, D. Rafael Muñoz, todos de Lebrija, y D. Francisco de Paula González y Peña, de Sanlucar de Barrameda : en gramática castella na D. Josef Perez de la Torre de las montañas de Santander, y D. Josef Ma ría Moreno, de Xerez de la Frontera ; y por último en ortografía castellana é historia de la religión D. Francisco de Paula Osuna, de Moron de la Fron tera , y D. Josef Martínez y Piedra , de la ciudad d…</t>
  </si>
  <si>
    <t>…Veiga, D. Joseí Abad y D. Gregorio Cancela. En trigonometría plana los mismos Martínez , Lourei ro, Galceran, Vicario, Arias, Pujadas, Cancela , D. Benito y D. Florencio Pereira, D. Josef Perez, D. Ignacio Palacios y D. Juan Pablo Rodríguez» En trigonometría esférica el mismo Rodríguez, Perez, Pujadas, Galceran, Loureiro, Palacios y D. Benito Pereira. En cosmografía el referido Perez, D. Juan Pablo Rodríguez, D. Domingo Valay, D. Francisco Galceran…</t>
  </si>
  <si>
    <t>Perez, Josefa</t>
  </si>
  <si>
    <t>Josefa Perez</t>
  </si>
  <si>
    <t>…vigorosamente por fuerzas muy inferiores, señalándose las señoras de la casa del comandante D. Josef Julián Ximenez de Menzana Doña Dolores Romero, su esposa, Doña María Ro mero , Doña Josefa Perez, Doña Juana Landeros, Doña Dimas de Luna, María Máxima y las criadas, á quienes el Excmo. Sr. virey concedió el uso de una cinta blanca con cantos de color de oro. EJ 21 del mismo Octubre marchó en auxilio de este pueblo el capitán D. Manuel Campos, quien hal…</t>
  </si>
  <si>
    <t>Perez, Manuel Damian</t>
  </si>
  <si>
    <t>Manuel Damian Perez</t>
  </si>
  <si>
    <t>…pondiente licencia para ello, y de incurrir en los castigos se ñalados por las leyes para los que no tienen título legítimo. Los interesados deberán dirigirse con sus instancias á D. Manuel Damian Perez, secretario por S. M. de la Real junta superior gubernativa de Medici na, en la plazuela de la Leña, niim. 20, cuarto principal ,bien sea valiéndose de apoderado, ó bien certificando precisamente las cartas y papeles para su completa seguridad, y que sean pue…</t>
  </si>
  <si>
    <t>…or sí, por medio de apoderado, ó bien por el correo el oficio de su nombramiento, lo reclamará á la mayor brevedad del secretario de la Real junta superior gubernativa de Medicina Don Manuel Damian Perez , que tiene la oficina en la plazuela de la Leña, núm. 20, cuarto principal. Igualmente podrán pedir y recoger certificación de sus egercieios todos los demas profesores que han quedado sin colocarse en la provi sión de las plazas de médicos de aguas minerale…</t>
  </si>
  <si>
    <t>…lo mé Pinera, de las de Andalucía; el quinto , D. Máximo Manuel Lorente, de las de Castilla la Vieja y Galicia; el sexto, D. Serapio Sinués, de las de Aragón , y el séptimo vocal, secretario D. Manuel Damian Perez, de las de Solan de Cabras y Alcantud en dicha Castilla la Nueva. En virtud de providencia del Sr. D. Joaquín de Almazan , del Consejo de S. M., teniente corregidor de esta heroica villa de Madrid, se ha mandado sacar nuevamen te í pública subasta por término…</t>
  </si>
  <si>
    <t>Perez, Manuel y Dou Ramón López</t>
  </si>
  <si>
    <t>Manuel y Dou Ramón López Perez</t>
  </si>
  <si>
    <t>…ago del Bejucar,por sí y en nombre de sus hijos legítimos D. Josef, D. Lorenzo, D. Antonio, Doña María de la Concepción, Doña Gertrudis, Doña María de Jesús, D. Francisco,D. Juan, D. Manuel y Dou Ramón López Perez, naturales de la Havana; y habiendo fallecido el referido su padre D. Antonio López Gómez en el mismo año de 1802 , al tiempo de estar para recoger dicho documento, habiendo dejado pagado parte de sus gastos, dejan do á deber solo 540 rs. y la 'encuadernación…</t>
  </si>
  <si>
    <t>Perez, María Ventura</t>
  </si>
  <si>
    <t>María Ventura Perez</t>
  </si>
  <si>
    <t>…imeros D. Pablo Sierra lo fue por haber establecido la fabricacion de hute en lienzo y seda, que antes no existia en la provincia; y entre las segundas merece un lugar distinguido Doña María Ventura Perez, vecina del puerto de Cuchillero, que adl::mas de haber beneficiado lnediante la ~alazon 116 quintales de merluza, ha hecho lo mismo con 44 quintales de abadejo, introduciendo con e5te cecial un nuevo ramo de industria, que no consta que se haya egercido jama…</t>
  </si>
  <si>
    <t>Perez, Pedro</t>
  </si>
  <si>
    <t>Pedro Perez</t>
  </si>
  <si>
    <t>…edicina de Parts, cirujano consulto de S. M., miembro de la academia de las cien cias y del instituto, presidente de juris de medicina &amp;c. &amp;c.: traducido al castellano por el Lie. D. Pedro Perez, cirujano del regimiento de dragones de Villaviciosa. primer ayudante de cirugía de los Reales egércítos, é individuo de las Reales aca demias de medicina de Sevilla y quirúrgica de Valladolid. Se hallará con la intere sante memoria, traducida por el mismo, d…</t>
  </si>
  <si>
    <t>Perez, Pedro González</t>
  </si>
  <si>
    <t>Pedro González Perez</t>
  </si>
  <si>
    <t>…n; y los tres segundos de 35 pesos á Don Francisco Ceferino de Ulacia, D. Gerónimo Rivas y D. Manuel Burrieza. Y teniendo en consideración que D. Antonio Salcedo, D- Juan Guerra y Don Pedro González Perez han igualado en el mérito de la oposición á los últi mos premiados, ha agraciado á cada uno de dichos alumnos con una caja de instrumentos de disección, y una obra de cirugía, como una prueba evidente de su aplicación y aprovechamiento.. ARTICULO DE OFICIO. E…</t>
  </si>
  <si>
    <t>Perez, Ricardo</t>
  </si>
  <si>
    <t>Ricardo Perez</t>
  </si>
  <si>
    <t>…, que se ha de dar á luz, é igualmente ios premios que Ies fueron adjudicados: mientras tanto habremos de hacer el sacrificio de no anticipar sino los de D. Joaquín Perez Seoanes, D. Ricardo Perez y Don F rancisco M aria Uiierte, los cuales han concluido el último curso, y recibi do en premio de eso, y de su sobresaliente aplicación, una medalla de plata de una onza , y el examen marítimo de D. Jorge Juan. También la tenido este año la sociedad el placer de ve…</t>
  </si>
  <si>
    <t>Perez, Tomas</t>
  </si>
  <si>
    <t>Tomas Perez</t>
  </si>
  <si>
    <t>…tinciones del saber y de la aplicación , colocándolas en el pecho de los si guientes beneméritos: D. Joaquín Cañedo, D. Bernardo García, D. Bernar do Cadenas, D. Agustín Bermejo, D. Tomas Perez, D. Blas Cadenas, Don Juan García, D. Manuel Ribera, D. Máximo y D. Joaquín Vargas, Don Felipe Crespo, D. Francisco Canillas, D. Pedro Miguel, D. Genaro Sal gado, D. Cándido de la Fuente , D. Josef García Vázquez , D. Aquilino Lu nar, D. Pedro Gómez, D. Celed…</t>
  </si>
  <si>
    <t>…esayuno, oyeron misa SS. MM. y A A. desde la tribuna de la capilla, y poco después se dirigieron con su co mitiva á la Real fábrica de moneda, la de papel y la de paños, propia de D. Tomas Perez. A su vuelta, lo propio que á la salida, recibieron los ho nores de la parada de Reales Guardias de infantería Española y Walona, y de la compañía de caballeros cadetes, dignándose admitir el obsequio de la comida que la ciudad de Segovia ofreció á las august…</t>
  </si>
  <si>
    <t>Peris, Bernardo</t>
  </si>
  <si>
    <t>Bernardo Peris</t>
  </si>
  <si>
    <t>…rno. Sr. cardenal patriarca de las Indias , del Exce lentísimo Sr. duque de Hijir, de los limos. Sres. D. Francisco Marín, D. Josef María Puig, del consejo y cámara de S. M., y de D. Bernardo Peris , co ronel graduado de milicias provinciales, y regidor decano de la misma ; y el primero dijo á S. M. : „Señor: La villa de Alcira, que tuvo el honor de obsequiar á V. M. cuando regresó de su penoso cautiverio, y que ha apreciado como la mayor de sus glorias…</t>
  </si>
  <si>
    <t>Perkins</t>
  </si>
  <si>
    <t>…ivo de la prisión de los 10 oficiales ingle ses que están para ser juzgados por el tribunal del distrito; y se reduce á lo siguiente. El coronel Juan D.Needham, los capitanes Juan D. Perkins, J. B. Holland y N. Ferrier, los tenientes Ricardo Stazey, Jaime Stázy y Carlos Webster, el cirujano Roberto Fry, el sargento mayor Benjamín Pearkes y Federico Beix, noble cosaco,según dicen, todos los cuales están complicados en la misma causa, se unieron y…</t>
  </si>
  <si>
    <t>Perosa, Cristóbal de</t>
  </si>
  <si>
    <t>Cristóbal de Perosa</t>
  </si>
  <si>
    <t>…go Morphy. = Josef Peña. =Ante mí, Francisco Martínez Pizarro. El Excmo. Sr. conde de Sta. Coloma, grande de España de primera cla se, gentilhombre de cámara de S. M., y los Sres. D. Cristóbal de Perosa, exento del Real cuerpo de guardias de la Persona del Rey , y D. Josef Ma ría de Cueto, coronel de caballería, teniente coronel del regimiento caballe ría del Príncipe , tuvieron la honra el dia 5 de Noviembre del año próximo pasado de felicitar á S. M. por s…</t>
  </si>
  <si>
    <t>Pery, Joaquín María</t>
  </si>
  <si>
    <t>Joaquín María Pery</t>
  </si>
  <si>
    <t>…sta de Granada, por los auxilios que ha sabido proporcionar al intento, no menos que á los conocimientos facultativos, zelo y laboriosidad del ingeniero en gefe graduado de marina D. Joaquín María Pery, con la particular y muy no table circunstancia de que todos los efectos y géneros empleados en esta obra son puramente nacionales. S. M. siempre desvelado por el bien de sus amados vasallos y el de la humanidad en general, asi como también animado de los des…</t>
  </si>
  <si>
    <t>Pesquera, Juan</t>
  </si>
  <si>
    <t>Juan Pesquera</t>
  </si>
  <si>
    <t>…izarría y denuedo ias tres columnas de ataque que dispuse y combiné al efecto á las órdenes de los comandantes de división coronel D. Francisco de Grrantia , y tenientes coroneles D. Juan Pesquera y D. Felipe Castañon. ,, Antes del asalto del fuerte el dia 4 de este tuvieron estas tropas una fuerte acción , empeñada impensadamente por las guerrillas , sostenida con indecible valor; pues no obstante que no estaba trazado el ataque, y des preciando el vivo fuego de artillerí…</t>
  </si>
  <si>
    <t>…omo 400 caballos. Las granadas les han cau sado mucho estrago -r y por último, según están cercados, no debe escapar ninguno.” Con fecha 3 del corriente Agosto dice de Irapuato el coronel D. Juan Pesquera á D. Pedro Rodríguez lo siguiente: „ Acabo de saber por un correo que me llegó de Silao que nuestras tro pas tienen completamente sitiado á Mina , Borja y Moreno en Comanja; que ya Navarra les tomó un fortín, y que la artillería nuestra les ha causado conside…</t>
  </si>
  <si>
    <t>Phull</t>
  </si>
  <si>
    <t>…ñalado para el 27 de este mes. Muchas ‘personas de distinción y empleados de la corte han partido ya para Bruselas. Brusélas 22 de Marzo. Han llegado hoy á esta ciudad el teniente general Phull, enviado extra ordinario, y ministro plenipotenciario del Emperador de Rusia cerca de S. M. el Rey de los Países-Bajos, que viene de Maubeuge, y el duque de Devonshire, caballero ingles, que ha venido de París. Para el miércoles próximo esperamos 2400 hombres…</t>
  </si>
  <si>
    <t>Pi'zarro</t>
  </si>
  <si>
    <t>este nombramiento'S. M. I. añade al Sr. Pi'zarro la honorífica expresión de que le dispensa esta gracia mientras llega la ocasión de hacerle demostraciones1 mas análogas al alto destino con que S. M. Católica se ha dignado honrarle. El teniente general D. Pablo Morillo, general en gefe del egército expe dic…</t>
  </si>
  <si>
    <t>Piar</t>
  </si>
  <si>
    <t>…ívar ha hecho marchar una fuerte división contra Merino, y ha excitado una guer ra civil en Venezuela, como hizo dos años há. Indica ademas una desave nencia entre aquel gefe y el general Piar , y dice que tanto Merino como Piar se han separado de la sumisión á Bolivar. A pesar de que las noticias del Times comunicadas de Sto. Tomas respiran parcialidad á la causa de Jos insurgentes, es manifiesto que las disputas personales y miras envidiosas en t…</t>
  </si>
  <si>
    <t>Pickmore</t>
  </si>
  <si>
    <t>…s periódicos del 12 del corriente se dijo equivocadamente que el almirante Exmouth iba á reemplazar ai almirante Duckworth en el apos tadero de Terranova, debiendo decir que es el almirante Pickmore. FRANCIA. Commercy 19 de Mayo. El general en gefe barón de Ziethen está pasando revista á las tropas prusianas acantonadas en Francia. El 12 y 13 desfiló á su presencia la caba llería de reserva que se halla de guarnición en esta ciudad, en Sampigny y en otro…</t>
  </si>
  <si>
    <t>Pictel</t>
  </si>
  <si>
    <t>…oe será mucho mas reco mendable por sus virtudes que por sus hazañas. Las tareas de la sociedad de ciencias naturales, establecida últimamente en Zurich, ofrecen mucho interes. El profesor Pictel leyó una memoria so bre la preparación de la gelatina de los huesos y su uso en Ginebra; Mr. Meyer, farmacéutico de St. Gall, leyó,otra sobre el modo de preparar en la Suiza oriental las bombas de vapor; el profesor Meisner otra sobre los huesos fósiles en Su…</t>
  </si>
  <si>
    <t>Pictet</t>
  </si>
  <si>
    <t>…ssino; el catedrático Studer sobre una especie particular de piedras halla das en Gemmi; Mr. Deluc sobre la forma exterior de una parte de las altas montañas de Saboya; en fin el -catedrático Pictet sobre el establecimiento de un aparato físico en el monte de .Sé Bernardo destinado á observaciones me teorológicas------flan sido presentados á la sociedad varios objetos de impor tancia, entre los cuales se nota una colección de dibujos de las víboras y cu…</t>
  </si>
  <si>
    <t>Piedra, Josef Martínez y</t>
  </si>
  <si>
    <t>Josef Martínez y Piedra</t>
  </si>
  <si>
    <t>…nder, y D. Josef Ma ría Moreno, de Xerez de la Frontera ; y por último en ortografía castellana é historia de la religión D. Francisco de Paula Osuna, de Moron de la Fron tera , y D. Josef Martínez y Piedra , de la ciudad de Sanlucar de Barrameda. La magnificencia con que el presbítero D. Juan Sánchez Barrancos, cura de esta iglesia parroquial, y tesorero de la hermandad, habia hecho adornar</t>
  </si>
  <si>
    <t>Piedrola, Antonio</t>
  </si>
  <si>
    <t>Antonio Piedrola</t>
  </si>
  <si>
    <t>…ado, entregar e! arma mento y municiones que conducía á aquel punto, y adquirir noticia de las fuerzas y situación del rebelde, que me comunicó su comandante el capitán de fragata D. Antonio Piedrola, El 17 dio la vela para la barra de Santander con la brisa fresquita del E. S. E., siendo mi plan el empezar mi ataque al amanecer; mas habiendo en la noche abonanzado algún tanto el viento, no pude recalar hasta las 10 de la mañana, á cuya hora descubrí fond…</t>
  </si>
  <si>
    <t>…ión de confirmar á V. E. el pronóstico que en el oficio núm. 43 le anuncié sobre la total derrota del traidor Mina. Ayer domingo recibí una carta particular del capitán de fragata D. Antonio Piedrola , comandante de Tampico , que con fe cha de 16 de Setiembre último dice asi: „Mi apreciable amigo: Aprovecho la ocasión de un amigo para remitirle á vmd. dos gacetas extraordinarias de Mé xico* una antigua y la otra moderna: por ellas verá vmd. la suerte de M…</t>
  </si>
  <si>
    <t>Piélagos, Juan Francisco de</t>
  </si>
  <si>
    <t>Juan Francisco de Piélagos</t>
  </si>
  <si>
    <t>…nto que no haciéndolo les parará el perjuicio que haya Jugar. El Sr. Dr. D. Francisco Josef de Mardones, presbítero, teniente vicario de es ta villa, por ante el notario de número D. Juan Francisco de Piélagos, en provi dencia de 30 del pasado ha mandado hacer saber al poseedor ignorado del censo perpetuo del vínculo que fundó Sebastian de Paz y Buvtrago, y poseyó en lo anti guo D. Juan Caballero, sobre una casa, calle de la Magdalena baja, núm. 5, man zana 8, con…</t>
  </si>
  <si>
    <t>Pignatelli</t>
  </si>
  <si>
    <t>…os sexos. Por la noche hubo iluminación general. TIROL. Inspruck 2/ de Enero. La gaceta de Clagenfurth dice que el coronel Olini pasó por aquella ciu dad, y que fue seguido por el general Pignatelli. Ambos llevaban una escol ta numerosa que los conducia al castillo de Josephstall, en Bohemia. ALEMANIA. Lnbeck 2 j de Enero. La diputación de Noruega debe partir de Cristiania para Stockolmo í principios de Febrero. Se desmiente la noticia de que el feld-mar…</t>
  </si>
  <si>
    <t>Pilsach, Senft de</t>
  </si>
  <si>
    <t>Senft de Pilsach</t>
  </si>
  <si>
    <t>998</t>
  </si>
  <si>
    <t>…á esta capital, á pesar de haber causado en la Puerta la ma yor satisfacción su llegada. Por conducto del último correo de Viena se comunicó por su corte á este ministro de Prusia barón Senft de Pilsach el aviso de haberle reemplazado en este destino el conde de Slaaden; y en el ínterin que este venga se ha en cargado de los negocios el secretario de dicha legación barón de Miltitz, pues el citado barón Senft se prepara á partir para Berlín en la semana próx…</t>
  </si>
  <si>
    <t>Pina, Martin</t>
  </si>
  <si>
    <t>Martin Pina</t>
  </si>
  <si>
    <t>…us fuegos, has ta que cerca de la una, habiendo cargado ya mayor número sobre el pue blo , dispuse saliesen el teniente de Zamora D. Juan del Villar y subteniente de Nueva- España D. Martin Pina con 60 hombres, los que habiendo desalo jado á los rebeldes de las casas y paredones de la colecturía , hice se me re uniesen , por haber observado que salían dos trozos á rienda suelta del ran cho de Marañon, como de antemano me lo habia conjeturado , pues s…</t>
  </si>
  <si>
    <t>Piña, Martin</t>
  </si>
  <si>
    <t>Martin Piña</t>
  </si>
  <si>
    <t>…lidas en la torre, tam bién blanco del enemigo; al subteniente del mencionado D. Francisco Pas tor en el hospital inmediato al baluarte de S. Fernando; al alférez de Nueva--España D. Martin Piña destinado igualmente á las salidas por la en trada de México, la que evitó con el mayor valor y entusiasmo , lo mismo que por el rumbo de Tulancingo hizo el de la misma clase y cuerpo D. Ce sar Sandoval, situado en el baluarte de S. Josef, como igualmente lo…</t>
  </si>
  <si>
    <t>Pineircs, Juan</t>
  </si>
  <si>
    <t>Juan Pineircs</t>
  </si>
  <si>
    <t>…itán de la partida de indultados con quienes se presentó, y son los siguientes: D. Manuel Oteiza, D. Antonio Trevíño , D. Damian Arandía , D. Remigio Nieto , D. Igna cio Améscua , D. Juan Pineircs, D. Rías Arandía, Aniceto Acosta, Cayeta no Quintana, Rafael Vega , Agustín Navarrete, Antonio Castrejon, Vicente Perez , Josef María Perez , Josef María Sánchez, Miguel Salas é Isabel Costilla. „Paztcuaro Marzo 6 de 18x7. = Antonio de Linares.” TELOLOAPAN. P…</t>
  </si>
  <si>
    <t>Pinilla, Valentín de</t>
  </si>
  <si>
    <t>Valentín de Pinilla</t>
  </si>
  <si>
    <t>…que haya lugar. A instancia de Doña María Herrero, viuda de D. Ventura García, vecina de esta corte, en los autos que penden en el Consejo Real y escribanía de cámara del cargo de D. Valentín de Pinilla, sobre validación del testamento otorgado por Don Antonio Sanz, vecino que fue también de esta corte, en 5 de Abril de 177/, y nu lidad del papel extendido en Noviembre de 179 c , apellidado disposición testametir taria; se ha mandado citar y emplazar, como p…</t>
  </si>
  <si>
    <t>…casa de comercio de Gorvea y sobrinos, apoderados en esta corte de Larrazabal y Menoyo, de Londres, en los autos qua penden en el Conse jo Real y escribanía de cámara del cargo de D. Valentín de Pinilla, sobre entrega de 68 vales Reales dinero que dejaron interinamente en poder de Gorvea D. Ber nardo Joaquín del Valle y D. Manuel de Ledesma, director y diputado que fueron de la Real compañía de ganaderos de las provincias de Soria y Burgos; se ha man dado ci…</t>
  </si>
  <si>
    <t>…virá igualmente darme aviso, á fin de hacerlo presente á este supremo tribunal. Dios guarde á V. S. muchos años. Madrid 3 de Julio de 1817. = Por el secretario D. Bartolomé Muñoz, D. Valentín de Pinilla. = Sr. gobernador de la sala.” Publicada en la sala plena la antecedente resolución, por decreto de 5 de este mes acordó su cumplimiento, y que para que le tenga en todas sus partes se circule á las justicias de los pueblos de su jurisdicción.</t>
  </si>
  <si>
    <t>Pinillos, Andrés</t>
  </si>
  <si>
    <t>Andrés Pinillos</t>
  </si>
  <si>
    <t>…...... 1................ ... 1. ... 1. Totales.................. ... 21. ... 3* * • • 66* • • * I • ... 3. \ nota. Los oficiales muertos son el capitán del regimiento de Barbastro D. Andrés Pinillos y el subteniente del mismo D. Francisco León; y los heridos el teniente de granaderos D. Juan Calvet y el ayudante de dra gones de la Union D. Antonio Alburquerque, y el del Rey de infantería el teniente Juan Josef Nieves. Cuartel general de Nueva-Barcelona A…</t>
  </si>
  <si>
    <t>Piñón, Francisco María</t>
  </si>
  <si>
    <t>Francisco María Piñón</t>
  </si>
  <si>
    <t>…Vi cente Tormo y Pont, del Consejo de S. M., su alcalde honoraria del crimen de la Real chancillaría de Granada, mayor teniente corregidor de la ciudad de Málaga, y escribanía de D. Francisco María Piñón, dentro de seis meses, contados desde 12 del pasado, que por tres términos, y el último perentorio se les asigna, con los correspondientes documentos que comprueben ía identidad de la citada casa, para entregarles cierta suma que la pertenece; y no lo haciend…</t>
  </si>
  <si>
    <t>Pinto, Josef</t>
  </si>
  <si>
    <t>Josef Pinto</t>
  </si>
  <si>
    <t>241 ESPAÑA. Tuerto de Santa María 21 de Enero. "La academia de primera educación en esta ciudad, de la que es director con Real aprobación D. Josef Pinto, socio supernumerario de la de Sevilla, celebró exámenes públicos en la mañana del dia 14 de Diciembre del año úl timo, con asistencia del gobernador, de una diputación del ilustre ayunta miento, de los señores curas de la priora! iglesia, de algunos religios…</t>
  </si>
  <si>
    <t>Pinto, Juan López</t>
  </si>
  <si>
    <t>Juan López Pinto</t>
  </si>
  <si>
    <t>…biblioteca , armería , gabinete de máquinas y clase de dibujo, en la que se hallaban con los planos que están trabajando les caballeros cadetes de ella con su profesor el teniente coronel D. Juan López Pinto, capitán del cuer po, quien por mano del director general presentó á SS. MM. y AA. cuatro de los ya concluidos, que se dignaron admitir, deteniéndose con muestras</t>
  </si>
  <si>
    <t>Pintor, Ramón</t>
  </si>
  <si>
    <t>Ramón Pintor</t>
  </si>
  <si>
    <t>…: en la segunda D. Josef Tejada , natural de Madrid, D, Eladio Ra mos , seminarista , y D. Cárlos Larravide, de este sitio: en la tercera los se minaristas D. Juan Sánchez Rubio, D. Ramón Pintor y D. Policarpo Gon zález, á quienes distribuyó las medallas el Rmo. prior, tocando entre tanto una orquesta ,que hizo mas plausible y brillante el acto, al que se dio fin por una exhortación, que dirigió aquel á todos los discípulos, excitándolos al es tudio y aplicación por su…</t>
  </si>
  <si>
    <t>Pinzón, Antonio Fernandez</t>
  </si>
  <si>
    <t>Antonio Fernandez Pinzón</t>
  </si>
  <si>
    <t>…lake y Tovar, D. Josef Romero Dorado, D. Manuel Vega y Romero, D. Al varo de Navia y Osorio, D. Juan de ia Lastra y Mata, D. Dionisio Sierra y Abello, D. Antonio Jácome y Villena, D. Antonio Fernandez Pinzón, Don Antonio de los Reyes y Céspedes, D. Josef García Merlo, y á los artilleros disti nguidos D. Josef Torrecilla, D. Adriano Torrecilla y D. Josef de Puente. Se vende una casa sita en la calle de Santiago el Verde de esta población, seña lada con el núm. 13…</t>
  </si>
  <si>
    <t>Pioli, Juan</t>
  </si>
  <si>
    <t>Juan Pioli</t>
  </si>
  <si>
    <t>…a Salamanca; en el mismo año pasó á Bayona, en Francia; regresó á España, y habiéndose embarcado en Santander para la Havana volvió á España en el barco llamado la Diligencia., su capitán D. Juan Pioli; en el año de 1815 escribió á su padre desde Santander; y no habiéndose tenido mas noticia de su paradero, se suplica á la persona que lo se pa que avise á su padre Domingo Menendez, dependiente de la casa del Excmo. Señor duque de Híjar en esta corte. D. Ant…</t>
  </si>
  <si>
    <t>Piqucr, Andrés</t>
  </si>
  <si>
    <t>Andrés Piqucr</t>
  </si>
  <si>
    <t>…crito á 30 rs. en rústica desde el tomo B.° Asimismo se hallarán las dos co lecciones de estampas pertenecientes á toda la obra. Física moderna racional y experimental, por el Dr. D. Andrés Piqucr, médico de cámara que fue de S. M. el Sr. D. Carlos m. En esta obra se hallan propuestos los principios fundamentales de la física experimental, con un método que conduce al entendimiento por grados desde las verdades mas simples hasta las mas compues tas, pr…</t>
  </si>
  <si>
    <t>Piquer, Juan Crísóstomo</t>
  </si>
  <si>
    <t>Juan Crísóstomo Piquer</t>
  </si>
  <si>
    <t>…portero mayor de la secretaría del Despacho de Gracia y Justicia de Indias, que lo agradecerán, y satisfarán cuantos gastos ocasione. Oficio y rrnsa de difuntos en castellano, por D. Juan Crísóstomo Piquer, con la explicación de los salmos según los comentarios de Calmet, y las lecciones de Job según el mismo Calmet y Fr. Luis de León i un tomo en 8.® Se hallará a 8 rs. efl pasta en la librería de Cuesta , calle de Correos, y en su puesto , g» adas de S. Fe Upe…</t>
  </si>
  <si>
    <t>Piqueres, Francisco</t>
  </si>
  <si>
    <t>Francisco Piqueres</t>
  </si>
  <si>
    <t>…Granada. En Santiago. En Zamora.. El Rey nuestro Señor se ha servido aprobar la cátedra de agricultura y botánica , y la de comercio y lenguas establecidas por D. Pascual Vasallo, D. Francisco Piqueres y D. Luis Bellon, prior y cónsules del consulado de Alicante; dignándose aprobar S. M. el nombramiento de catedrático para la primera en IX Claudio Boutelou,. y para la segunda en el presbítero D. Pe dro Baille y Laviña * siendo de su soberana satisfacción el zelo é ínteres c…</t>
  </si>
  <si>
    <t>Pizarro</t>
  </si>
  <si>
    <t>…on presentadas á S. M. por el Sr. bailío Tatischeíf, enviado extraor dinario y ministro plenipotenciario de aquel Soberano, con un breve discur so análogo á las circunstancias. El Sr. Pizarro tuvo también la satisfacción de recibir una carta muy li sonjera del Emperador Alejandro concebida en los siguientes términos: „ Señor caballero Pizarro: Habiéndoos elegido el Rey vuestro Amo, por la confianza que en vos tiene, para primer depositario de sus…</t>
  </si>
  <si>
    <t>Pizarro, Francisco Martin</t>
  </si>
  <si>
    <t>Francisco Martin Pizarro</t>
  </si>
  <si>
    <t>72</t>
  </si>
  <si>
    <t>…oso estado de independencia y barbarie en que se constituyen. Havana 16 de Octubre. En la ciudad de la Nueva-Orleans á 30 dias del mes de Setiembre de 1816 compareció ante mí y mi secretario D. Francisco Martin Pizarro en este consulado de S. M. Católica de mi cargo Josef Peña, natural de la villa de Guardia en el reino de Galicia, uno de los que componían la tripulación en la fragata mercante española titulada la Feliz , perteneciente á los señores Aguirres, en Santander,…</t>
  </si>
  <si>
    <t>Pizarro, Josef</t>
  </si>
  <si>
    <t>Josef Pizarro</t>
  </si>
  <si>
    <t>…o tiempo pla za efectiva en el consejo de Estado. Tendreislo entendido, y dispondréis lo necesario á su cumplimiento. = Rubricado de la Real mano. =Palacio 29 de Enero de 1817.= A D. Josef Pizarro.” Circulares del Ministerio de Guerra. i.a Queriendo el Rey nuestro Señor dar una prueba de lo gratos que le han sido los servicios contraídos en su obsequio durante su cautividad por los in dividuos de armas, que bajo las órdenes de su general en gefe el ten…</t>
  </si>
  <si>
    <t>…...... ........... Tnon Ídem........... En Valladolid. 536............................. 1000 idem....... ... En la Coruña. ARTICULO DE OFICIO. Circular del Consejo Real. El Excmo. Sr. D. Josef Pizarro, primer Secretario de Estado y del Des pacho, comunicó al Consejo con fecha 27 de Noviembre del año próximo pasado por medio del Excmo. Sr. duque del Infantado, presidente del mismo supremo tribunal, la Real orden que dice asi: „ Excmo. Sr.: El Sr. Secretario…</t>
  </si>
  <si>
    <t>…á castigar al rais de la polncra que los ha mandado.xrDios guarde á V. E. muchos años. Argel 8 de Octubre de 1817 = Excmo. Sr. = B. L. M. de V. E. = PedroOrtiz de Zugasti.=:Excmo. Sr. Don Josef Pizarro.” El 16 del pasado entró en el puerto de Cádiz la fragata de guerra Sabi na al mando del brigadier de la Real armada D. Francisco Beranger, pro cedente de los puertos de Veracruz y la Havana, escoltando varios buques del comercio, y conduciendo á su bordo 3.2…</t>
  </si>
  <si>
    <t>Pizarro, Josef de</t>
  </si>
  <si>
    <t>Josef de Pizarro</t>
  </si>
  <si>
    <t>…ron por mar. El Emperador de Austria se ha dignado conceder la gran cruz de la Or den Real de S. Esteban de Hungría al Sr. Infante D. Carlos Luís, al Señor duque de S. Carlos y al Sr. D. Josef de Pizarro, primer Secretario de Esta do y del Despacho; y el Rey nuestro Señor ha tenido á bien conceder á es tos últimos licencia para aceptarlas. El Rey nuestro Señor se ha dignado condecorar al Príncipe de Metternich, ministro de Negocios extrangeros deS. M. I, y R.…</t>
  </si>
  <si>
    <t>Pizarro, Josef García de León y</t>
  </si>
  <si>
    <t>Josef García de León y Pizarro</t>
  </si>
  <si>
    <t>…he venido en conferirle dicha secretaría en propiedad. Tendréislo entendido, y dispon dréis su cumplimiento. =Palacio 29 de Enero de 1817.= Rubricado de la Real mano de S. M. = A D. Josef García de León y Pizarro.” Circulares del Ministerio de Querrá. i.a Al Capitán general de Andalucía digo de Real orden con esta fecha lo que sigue: ,,IIe dado cuenta al Rey nuestro Señor de una exposición del Coman dante general de esa Provincia , en la que manifiesta las dificultade…</t>
  </si>
  <si>
    <t>…, en atención á los distinguidos méritos y á la confianza que me merece. Tendreislo entendido, y dispondréis lo necesario á su cumplimiento. En Palacio á 19 de Junio de 1817. = A D. Josef García de León y Pizarro. Circular del Ministerio de Hacienda. Para evitar lo? abusos y desórdenes que suelen cometerse en las aduanas del reino á la sombra de los privilegios para la introducción de géneros con libertad de derechos, concedidos á cuerpos militares y particulares, com…</t>
  </si>
  <si>
    <t>…n á los mas aplicados y sobresalientes los premios que se previenen en el mis mo artículo. Madrid 23, de Julio*. ARTICULO DE OFICIO. El Rey nuestro Señor se ha servido conceder al Sr. D. Josef García de León y Pizarro, consejero de Estado, y primer secretario de Estado y del despacho, universal, su Real licencia para usar la gran banda de la orden de Santa Ana de primera clase con que le ha condecorado el Emperador de Rusia con . motivo de los servicios, hechos á la causa…</t>
  </si>
  <si>
    <t>…y una obra de cirugía, como una prueba evidente de su aplicación y aprovechamiento.. ARTICULO DE OFICIO. El 21 del corriente por la noche se dignó el Rey nuestro Señor investir al Sr. D. Josef García de León y Pizarro, consejero de Estado, y primer secretario de Estado y del Despacho, las insignias de la gran cruz de S. Ale jandro Newski con que le ha condecorado el Emperador de Rusia, y las que fueron presentadas á S. M. por el Sr. bailío Tatischeíf, enviado extraor dinar…</t>
  </si>
  <si>
    <t>…em........ En Barcelona. 10641................... 1000 idem........... En Burgos. ARTICULO DE OFICIO. El Rey nuestro Señor se ha servido conceder su Real permiso al Exce lentísimo Sr. D. Josef García de León y Pizarro, su primer Secretario de Estado y del Despacho universal, para admitir la gran cruz de la Real or den de S. Fernando y del Mérito del reino de las Dos ‘Sicilias con que le ha agraciado aquel Soberano. Circular del Ministerio de Hacienda. Habiéndose dignado el…</t>
  </si>
  <si>
    <t>…comunicada por el ministro de Negocios extrangeros de aquel Monarca al plenipotenciario de S. M. , y transmitida por este al Ex celentísimo Sr. Secretario de Estado y del Despacho D. Josef García de León y Pizarro. ,, Atendiendo á las diferentes reclamaciones hechas por el enviado ex traordinario y ministro plenipotenciario de S. M. .el Rey de España, ha te nido á bien S. M. Danesa mandar que la Cámara Real de aduanas expida un edicto prohibiendo provisionalmente la im…</t>
  </si>
  <si>
    <t>Pizarro, Joset García de León y</t>
  </si>
  <si>
    <t>Joset García de León y Pizarro</t>
  </si>
  <si>
    <t>…mos sucesores. Collares del Te ison de Oro Al duque de Montemar; al duque de Híjar, y al conde de Peralada. En la Real y distinguida orden de Carlos in Grandes Cruces A los Síes. D. Joset García de León y Pizarro, primer secretario de Es-</t>
  </si>
  <si>
    <t>Pizarro, Rafael García de</t>
  </si>
  <si>
    <t>Rafael García de Pizarro</t>
  </si>
  <si>
    <t>…te, comandante general del departamento de Cartagena, la gran cruz de Car los ni; ai teniente general D. Félix Calleja la gran cruz de Isabel ia Católi ca; al tesosero de egército D. Rafael García de Pizarro cruz de comendador en la misma orden ; y cruces de caballeros en ella á D. Juan Josef Gárate, presbítero; ai brigadier D. Andrés de la Rúa; ai capitán de fragata D. Ma nuel González de la Vega ; á D. Eusebio García , capitán de patriotas distin guidos de Méxi…</t>
  </si>
  <si>
    <t>Plampin</t>
  </si>
  <si>
    <t>…wit desde Tiensing á Cantón anunciaban un resultado favorable de la em bajada. El Conquistador , navio de 74 cañones, saldrá luego que el viento lo per mita para Sta. Elena con el almirante Plampin, quien va á reemplazar á sir Pulteney Malcolm, y á residir por largo tiempo en dicha isla. Se han enviado órdenes ai Canadá para hacer la reducción posible de ofi ciales y buques de la fuerza naval empleada en varios lagos. Ayer se han recibido cartas de Puer…</t>
  </si>
  <si>
    <t>Plazaola, Arflbrosio</t>
  </si>
  <si>
    <t>Arflbrosio Plazaola</t>
  </si>
  <si>
    <t>…Don Carlos por su contraido enlace con la Sra. Infanta de Portugal Doña María Francisca pe Asís. ARTICULO DE OFICIO. El Rey nuestro Señor, en atención á los méritos y servicios de D. Arflbrosio Plazaola , contador general de las encomiendas de los Sennos. Sres. In fantes D. Cárlos María y D. Francisco de Paula, ha venido en concederle los honores del tribunal de Contaduría mayor. A voluntad de sus dueños, y en virtud de providencia del Sr. D. Joaquín de Alma…</t>
  </si>
  <si>
    <t>Pluídobro, Justo</t>
  </si>
  <si>
    <t>Justo Pluídobro</t>
  </si>
  <si>
    <t>…nico á V. para que si fuere de su agrado lo eleve al su perior conocimiento del Excmo. Sr. virey. ,,Dios guarde á V. muchos años. Tlaquiltenango Mayo 20 de 1Sr6.= Manuel de Ahedo.=Sr. D. Justo Pluídobro, capitán comandante de armas de Cuernavacas.” Idem j de Julio. EGERCITO DEL SUR. Parte del comandante general el brigadier D. Ciríaco de Llano. „ Excmo. Sr.: Paso á manos de V. E. para su superior conocimiento el oficio original que me ha remitido el subdeleg…</t>
  </si>
  <si>
    <t>Po, Alfonso del</t>
  </si>
  <si>
    <t>Alfonso del Po</t>
  </si>
  <si>
    <t>…imonio, y por providencia del Sr. Don Francisco Xavier de Ojeda, del Consejo de S. M. en el supremo de Hacienda, juez asesor genera! de dicha Real casa y patrimonio, refrendada de D. Alfonso del Po zo, escribano de S. M., sus Reales caballerizas y demas ramos agregados, se ha mandado se vuelva á pregonar por otros 8 días mas, contados desde el citado dia, una casa sita en esta corte y calle de Quiñones ó de Sto. Domingo la Nueva , distin guida con el nú…</t>
  </si>
  <si>
    <t>Poham</t>
  </si>
  <si>
    <t>…á las operaciones mas abstractas del entendimien to humano. Se dice que esta obra es el fruto de la larga experiencia de Mr. Chappe , director de los telégrafos de Francia-----El almirante Poham visitó estos dias pasados el establecimiento telegráfico de la calle de la Uni versidad; y este sabio marino, inventor de muchas máquinas para señales, ha hecho grandes elogios del telégrafo francés, por el cual Mr. Chappe ha conseguido comunicar no solamente…</t>
  </si>
  <si>
    <t>Pole, Mulgrave y Wellesley</t>
  </si>
  <si>
    <t>Mulgrave y Wellesley Pole</t>
  </si>
  <si>
    <t>…wby, de Westmoreland y de Liverpool, los vizcondes Sidmouth y Castlereagh, el conde Bathursr, el vizconde Melville, el canciller del Echiquier, los señores Bathurst y Canning , el conde Mulgrave y Wellesley Pole. La sesión duró desde las dos hasta inas de las cuatro de la tarde. El Gobierno francés acaba de negociar un empréstito de 300 millones de francos con los capitalistas de Londres, en el cual parece que son de las mas interesadas las casas de Baring y Hope. El…</t>
  </si>
  <si>
    <t>Poleff, Balk</t>
  </si>
  <si>
    <t>Balk Poleff</t>
  </si>
  <si>
    <t>…umplimentaron á S. M. el cuerpo diplomático, los grandes, generales y demas personas de distinción. A la una de la tarde del mismo dia tuvo la primera audiencia de S. M. el Excmo. Sr. Balk Poleff, enviado extraordinario, y ministro plenipotencia rio de S. M el Emperador de todas las Rusias, cuyas credenciales presentó dirigiendo á S. M. un discurso de felicitación por su advenimiento al trono. S. M. contestó manifestando los sentimientos de amistad qu…</t>
  </si>
  <si>
    <t>Polignac</t>
  </si>
  <si>
    <t>…de los alumnos de retórica, y que aprenden todos. Añadieron las odas del mismo poeta, las obras de Virgilio, y por extraordinarios el Prudencio, el Sanazaro y el Anti-Lucrecio del cardenal Polignac. Agradó singularmente un gracio so diálogo, en que se censuraba con las mas vivas razones un abuso harto co mún entre nosotros , y manantial funesto de nuestros atrasos en las bellas letras, que es el arrancar de las aulas á los jóvenes antes de tiempo, y con…</t>
  </si>
  <si>
    <t>Polignac, Julio de</t>
  </si>
  <si>
    <t>Julio de Polignac</t>
  </si>
  <si>
    <t>…1213 GACETA DE MADRID DEL JUEVES 13 DE NOVIEMBRE DE 1817. - — ihfiii»m■ — ■ 11»'" m .... ■&lt; •.■■■i»n RUSIA. Pefersburgo 14 de Setiembre. Hace tres días que murió en esta ciudad ei duque Julio de Polignac, co nocido por la clase distinguida que ocupaba en la corte de Luis xvi. Se está formando causa en el consejo de Estado al general de infantería Príncipe GortchakoíF, por haber tolerado algunos abusos mientras fue mi nistro de Guerra. Este es el primer egempl…</t>
  </si>
  <si>
    <t>Pomar, Antonio Zapatero y</t>
  </si>
  <si>
    <t>Antonio Zapatero y Pomar</t>
  </si>
  <si>
    <t>…: para la de Friailiana á D. Juan Padilla y Ortiz, alcalde mayor que era de la ciudad de A /amon te : para la de Rivadavia á D. Joaquín Hernández : para la de S. Pedro Man rique á D. Antonio Zapatero y Pomar: para la de Herrera del Duque á Don Pedro Cano, alcaide mayor que era de Siruela; y para la de Quintaniiia de Sumuño á D. Gabriel Gutiérrez. En la gaceta núm. 155 del sábado 14 de Diciembre de 1816 se publico en artículo de oficio el siguiente aviso ministeri…</t>
  </si>
  <si>
    <t>Pomares, Francisco</t>
  </si>
  <si>
    <t>Francisco Pomares</t>
  </si>
  <si>
    <t>…tugal en 6 pliegos de marquilla, con una or la que contiene 32 láminas que representan los sucesos mas memorables ocurridos durante la última guerra en España y en Roma, hecho por D. Francisco Pomares, presbítero español residente en Roma. Para la formación de este mapa ha tenido presente su autor todos los que de estos reinos se han publicado hasta ahora, y va rias memorias, viages, relaciones y observaciones astronómicas; y para que fuese de mayor y mas…</t>
  </si>
  <si>
    <t>Ponce, Josef de Vargas y</t>
  </si>
  <si>
    <t>Josef de Vargas y Ponce</t>
  </si>
  <si>
    <t>…la poesía castellana, por D. Juan Pablo Forner, á i\ rs.—Lección poética, sátira sobre el mismo asunto, por Don Meliton Fernandez, á 2§ rs. —Elogio del Rey D. Alonso el Sabio, por D. Josef de Vargas y Ponce, á 2§ rs. —Elogio de D. Alonso Tostado, obispo de Avila, por D. Josef de Viera y Clavijo, á 2§ rs.__Elogio del Excmo. Sr. marques de San ta Cruz, escrito por D. Nicasio Alvarez de Cienfuegos, á real y medio en papel._: Elogio histórico del Excino. Sr. D. Juan…</t>
  </si>
  <si>
    <t>Poniatowski</t>
  </si>
  <si>
    <t>299</t>
  </si>
  <si>
    <t>…de este mes llego á Portsmouth la fragata Orontes y proceden te de la isla Mauricía ,y últimamente de Sta. Elena, desde donde ha hecho su vinge en 36 dias. Ha venido á su bordo el coronel Poniatowski, oficial po laco, que fue enviado hace tiempo desde Sta. Elena al cabo de Buena-Esperanza , donde actualmente se hallan Lascases y su hijo. Bonaparte no goza buena salud, y sus médicos dicen que si continua en no hacer egercicio, po drá alterarse aquella nota…</t>
  </si>
  <si>
    <t>Portalis</t>
  </si>
  <si>
    <t>…ra de los diputados por nuestros ministros secretarios de Estado de los departamentos de Negocios extrangeros y del Interior, por eí conde de Beugnot, ministro de Estado, y por el conde Portalis, ministro de Estado, á quienes encargamos que desenvuelvan los motivos y sostengan la discusión. art. i.° „ En conformidad al concordato celebrado entre Francisco 1 y León x solo el Rey nombra, en virtud de un derecho reconocido de la corona, los arzobispos y…</t>
  </si>
  <si>
    <t>Portolá, Antonio</t>
  </si>
  <si>
    <t>Antonio Portolá</t>
  </si>
  <si>
    <t>…(según su relación) en unos tres cuartos de hora, y dio inmediatamente parte de aquel suceso al gober nador el coronel D. Antonio de Gispert, al baile general D. Josef Pujol, y á D. Antonio Portolá, regidor decano de esta villa, quienes movidos de caridad , y zelosos por el cumplimiento de las leyes, dieron tan prontas y acertadas providencias para salvar la moribunda, enviando todos los socor ros necesarios de gentes, caballería y alimentos, que lograr…</t>
  </si>
  <si>
    <t>Portugal, Henrique Ataidey</t>
  </si>
  <si>
    <t>Henrique Ataidey Portugal</t>
  </si>
  <si>
    <t>…rería de Castillo, frente á las gradas de S. Felipe. El Tesoro de los niños: obra útil para su cristiana y civil educación: publícala traducida del francés, corregida y aumentada, D. Henrique Ataidey Portugal. Es un resúmen de los principios de la moral cristiana y de la civilidad, breve , claro, metó dico, y proporcionado á la capacidad de los niños: un tomo en 8.° Se hallará en la librería de Hurtado, calle de las Carretas. EN LA"IMPRENTA REAL]</t>
  </si>
  <si>
    <t>Posadilla, Juan Alvarez</t>
  </si>
  <si>
    <t>Juan Alvarez Posadilla</t>
  </si>
  <si>
    <t>…rreglo á las leves de España, y contra los abusos introducidos; precisa y necesaria á todos los escribanos que tienen que ac tuar con jueces legos y alcaldes ordinarios*, su autor D. Juan Alvarez Posadilla: tercera impresión en tres tomos en 4,0 Se vende en las librerías de Ranz, calle de la Cruz, y de Castillo, frente á S. Felipe el Real, á to rs. en papel, 2 1 á la rústi ca y 26 en pasta cada tomo, y para comprobar su legitimidad llevarán la firma de Crespo.…</t>
  </si>
  <si>
    <t>Posas, Francisco Castelis y</t>
  </si>
  <si>
    <t>Francisco Castelis y Posas</t>
  </si>
  <si>
    <t>…allar y Do ña Rosa de Duran y de Moner, consortes y vecinos de la ciudad de Barcelona , en los autos que penden ante el mismo supremo tribunal en grado de segunda supli cación con D. Francisco Castelis y Posas, vecino de la villa de Esparraguera, en Cataluña, y con D. Josef Antonio Rabert Santa Susana y Moner sobre adjudicación y pertenencia de la universal herencia y bienes que fueron de D. Pablo Bas, Don Félix y Dona Magdalena Bas y Balaguer, y los de D. Francisc…</t>
  </si>
  <si>
    <t>Potowsky, León</t>
  </si>
  <si>
    <t>León Potowsky</t>
  </si>
  <si>
    <t>…e que otros varios ministros se guirán su egemplo. El Emperador saldrá para Gallitzia en los primeros días de Junio , y el Príncipe de Schwartzemberg irá á los baños de Carhbad El conde León Potowsky, encargado por la corte de Rusia de una combion cerca de la Va na Sede, ha llegado aquí, y continuará mañana su viage. Asimismo ha llegado el general prusiano Wollzogen con una comisión militar relativa a la Confede ración germánica. El número de pobres se ha…</t>
  </si>
  <si>
    <t>Pozo, Alfonso del</t>
  </si>
  <si>
    <t>Alfonso del Pozo</t>
  </si>
  <si>
    <t>…rovidencia de g i del pasado del Sr. D. Francisco Xavier de Ojeda , del Consejo de S. M. en el supremo de Hacienda, juez asesor general de la Real casa y patrimonio, refrendada de D. Alfonso del Pozo, escribano del ilustre cole gio de esta corte, y del juzgado de Reales caballerizas y demas ramos agregados, se venden un macho capón, pelo rojo, cerrado, su alzada siete cuartas y ocho dedos, tasado en 800 rs.: otro ídem tordo claro, cerrado, de siete cuarta…</t>
  </si>
  <si>
    <t>…por primero, segundo y tercer término se les señala, contados des de el 3 1 del pasado, comparezcan en el juzgado de Reales caballerizas, y por la escribanía del mismo al cargo de D. Alfonso del Pozo, por sí ó por medio de pro curador con poder bastante,á deducir su derecho en el juicio de testamentaría, que si asi lo hiciesen se les administrará justicia; con apercibimiento que pasado el insi nuado término, sin mas citarles ni llamarles se procederá á lo…</t>
  </si>
  <si>
    <t>…. D. Francisco Xavier de Ojeda, del Consejo de S. M. en el supremo de Hacien da, juez asesor general de la Real casa y patrimonio, y escribanía de Reales caba* llerizas al cargóle D. Alfonso del Pozo , en los cuales, y en 13 del corriente, se ha mandado entre otras cosas que se anuncie al público por medio de los periódicos de diario y gaceta dicha testamentaría, para que si alguna persona se. considerase con derecho á sus bienes le deduzcan ante S. S. y…</t>
  </si>
  <si>
    <t>…ia del Sr. D. Francisco Xavier de Ojeda, del Consejo de S. M. en el supremo de Hacienda, juez asesor general de su Real casa y patrimonio, su fecha 10 del corriente, refrendada de D. Alfonso del Pozo, escribano de S. M. y del juzgado de Reales caballerizas y demas ramos agregados, se ha señalado para nueva junta de acreedores á D. Andrés Tadeo Perez, maestro de coches de las mis mas, el dia 30 del presente mes á lás ocho dé su mañana en el tribunal de la…</t>
  </si>
  <si>
    <t>…ncia de 6 de Setiembre último del Sr. D. Francisco Xavier de Ojeda, del Consejo de S. M. en el supremo de Hacienda, juez asesor general de la Real Casa y Patrimonio, refrendada de D. Alfonso del Pozo, escribano de S. M. y del juzgado de sus Reales caballerizas y demas ramos agregados, y para pago de acreedores, se vende una caja nueva de berlina acerchada de medio abajo, con tabl eros de chapa, dada de color oscuro, vestida de tripe azul con franjas de se…</t>
  </si>
  <si>
    <t>…rovidencia de 5 del corriente del Sr. D. Francisco Xavier de Ojeda, delConsejo de S. M. en el supremo de Hacienda, juez asesor general de la Real casay y patrimonio, refrendada de D. Alfonso del Pozo, escribano de S. M., sus Reales, caballerizas y demás ramos agregados, y para pago de acreedores ,• se vende una casa' sita en esta corte, y su calle de la Cabeza, señalada con el nútn. 20 de la manz. 37, comprensiva de 1269 pies de superficie y distribuida e…</t>
  </si>
  <si>
    <t>Pozo, Diego del</t>
  </si>
  <si>
    <t>Diego del Pozo</t>
  </si>
  <si>
    <t>…ntre los horrorosos estragos que la feroz irrupción enemiga causó en la villa de Colmenar Viejo, fue uno la destrucción de su colegio seminario que fundó en el año de 1622 el Lie. D. Diego del Pozo, cura párroco que fue de ella, ba jo tan sabias y acertadas reglas y estatutos, que desde luego produjeron alum nos virtuosos y cientílicos, que ocuparon dignamente y ocupan todavía en el dia destinos de la mayor consideración. En virtud de esto los patronos…</t>
  </si>
  <si>
    <t>Pozo, Gregorio García del</t>
  </si>
  <si>
    <t>Gregorio García del Pozo</t>
  </si>
  <si>
    <t>…ión y venta en casa de los principales libreros, pagándose un real mas por razón de portes. Paralelo entre la ortología y ortografía castellano, y propuestas para su refor ma: por D. Gregorio García del Pozo: un tomo en 4.0 á 8 rs. en rústica y á í 2 en pasta. Para comodidad de los que estudian se darán á quien lo pida asi Jas reglas en cuadernito separado de los demas. Se hallará en Ja librería de Escovar, calle de Majaderitos ancha. Ultima despedida de la Marís…</t>
  </si>
  <si>
    <t>Prada, Antonio Arias de</t>
  </si>
  <si>
    <t>Antonio Arias de Prada</t>
  </si>
  <si>
    <t>…Diez Quijada y Oveje ro. Idem 2.0 D. Clemente García Escudero y Urrutia. Idem 3.0 D. Pablo Govantes. D. Marcos Galan , D. Antonio Castellano y Cabrejano, D. Juan González Miranda, D. Antonio Arias de Prada , D. Justo Saenz de S. Pedro, D. Gabriel Ceruelo de Velasco y D. Josef Sacasa. Capellán D. Francisco Carpintero y Eraso. Para el de S. Bartolomé en Salamanca. Rector D. Ramón de Aguilar Fernandez de Córdoba. Consiliario T.° Don Anselmo de Isla Manrique. Idem…</t>
  </si>
  <si>
    <t>Prada, Juan Antonio</t>
  </si>
  <si>
    <t>Juan Antonio Prada</t>
  </si>
  <si>
    <t>…nónigo tesorero de la santa iglesia catedral de Co ria : á D. Francisco Amar, canónigo de la metropolitana de Zaragoza: á Don Francisco Castilla, deán de la catedral de Badajoz: á D. Juan Antonio Prada, canónigo tesorero de la metrepolitana de Sevilla; y á D. Diego de la Torre, canónigo de la santa iglesia primada de Toledo. Plaza de juez mayor de Vizcaya en la chancillería de Valladolid á Don Juan Arguelles Valdés. El Rey nuestro Señor por su Real decreto…</t>
  </si>
  <si>
    <t>Prades, Antonio Colomer de</t>
  </si>
  <si>
    <t>Antonio Colomer de Prades</t>
  </si>
  <si>
    <t>…del marques de Sta. Coloma, mayordomo de semana de S. M. con destino ai cuarto del Sermo. Sr. Infante D. Cários; del Sr. D. Luis Beltran , consejero en el supremo de la Guerra; de D. Antonio Colomer de Prades, caballero de la Real distinguida orden de Cários ni, y de D. Juan Cardona, guardia de la Persona del Rey , á cumplimentar á S. M. por su verificado enlace con la Reina nuestra Señora Doña Isabel de, Braganza ; pronunciando el ci tado gobernador la siguiente…</t>
  </si>
  <si>
    <t>Prado, Anronio de</t>
  </si>
  <si>
    <t>Anronio de Prado</t>
  </si>
  <si>
    <t>…Fernandez Villamil. Fueron examinados en aritmética Don Felipe Martínez , D. Antonio Ramón Zarneza, D. Joaquín Clavareza, Don Manuel María Ribero, D. Manuel Diaz, D. Vicente Rey, D. Anronio de Prado, D. Manuel Rodríguez Almeida, D. Fermín del Pedregal y D. Ra món Casal. En álgebra D. Josef Pujadas y D. Fermín Galccran. En geometría el citado Martínez , D. Josef María Loureiro, D. Manuel María Vicario , Don Cosme Arias, D. Josef Alonso, D. Benito Pereira,…</t>
  </si>
  <si>
    <t>Prado, Bartolomé Sainz de</t>
  </si>
  <si>
    <t>Bartolomé Sainz de Prado</t>
  </si>
  <si>
    <t>…rtadero , la ex tensión de su pradera, y el ser una posesión de coto redondo, proporciona las ma yores ventajas at extractor de lanas. El que gaste valerse de él podrá dirigirle i D. Bartolomé Sainz de Prado, residente en la indicada villa de Piedrahita, seguro de que logrará la mayor equidad y cuanto sea susceptible en su beneficio. Liga sagrada entre los venerables confesores, ó discurso místico moral que des pués de la misión hacia al clero el B. Leonardo de P…</t>
  </si>
  <si>
    <t>Prado, Bernardo de</t>
  </si>
  <si>
    <t>Bernardo de Prado</t>
  </si>
  <si>
    <t>…saldrá del apuro con su destreza acostumbrada. ESPAÑA. Madrid g de Febrero. El dia 8 del pasado tuvo la honra de felicitar á S. M. en representación de la santa iglesia de Oviedo D. Bernardo de Prado, fiscal de la suprema In quisición, y arcediano de Villaviciosa , quien dijo á S. M entre otras cosas: „Señor: El cabildo de la santa iglesia de Oviedo , constante siempre en sus principios de amor y adhesión á sus Reyes, une su complacencia con el júbilo uni…</t>
  </si>
  <si>
    <t>Prado, Manuel Saenz del</t>
  </si>
  <si>
    <t>Manuel Saenz del Prado</t>
  </si>
  <si>
    <t>…egidor de esta muy heroica villa, refrendada del escribano del nú mero D. Tomas María Manrique, se cita, llama y emplaza por término de 30 días, contados desde esta publicación, á D. Manuel Saenz del Prado, D. Lorenzo Fer nandez de León, D. Juan Lorenzo Sánchez Cueto, D. Luis Franco, Doña Librada Perez Escovar, D. Joaquin Antonio Román, los Sres. Alzueta y Beratarrechea, D. Rafael Rodríguez, D. Juan de Dios Elias, los Sres. Bohe, hermanos y compa ñía, D. Marian…</t>
  </si>
  <si>
    <t>Prado, Tomas de Sancha y</t>
  </si>
  <si>
    <t>Tomas de Sancha y Prado</t>
  </si>
  <si>
    <t>…vecino y corredor de número de esta corte, que penden en el juzgado del Sr. D. Joaquín Almazan, del Consejo de S. M., teniente corregidor de esta villa, y escribanía del número de D. Tomas de Sancha y Prado, á instaacia de los comisionados por los acreedores, se ha mandado por providencia de 8 del corriente citar y emplazar por edictos y pregones á dicho D. Francisco de Toledo, para que comparezca á usar del derecho que pueda asistirle, señalándole el término pr…</t>
  </si>
  <si>
    <t>Ante el limo. Sr. D. Gonzalo Josóf de V'ilches, del Consejo y Cámara de S. M., juez protector y privativo del Real patronato de los santos luga res de Jerusalen, y D. Tomas de Sancha y Prado, secretario deL mismo, se ha promovido expediente á instancia del procurador general del propio Real patronato sobre la pertenencia de 37 vales Reales de 600 pesos, 54 de 300 y 67 de 150, que se han retenido en la olicina de Renovación de vales á instancia de…</t>
  </si>
  <si>
    <t>…ñalado el término de go dias para que la persona que se crea y pueda acreditar su inmediación al goce del referido mayorazgo, se presente en su juzgado y escribanía del número de D. Tomas de Sancha y Prado con los correspondientes documentos calificativos; con prevención de que no lo haciendo le parará el perjuicio que haya lugar. No habiendo tenido efecto el remate de la casa núm. 4, manz. 28, sita en el ,-Real sitio de Aranjuez en la calle del Foso, frente á…</t>
  </si>
  <si>
    <t>…de muías 12 carros de mies, que dificilmente pue den trillarse por los trillos antiguos en dos dias, y que siete carros de almortas se habían trillado con él en 5 horas y media.__ D. Tomas de Sancha y Prado , vecino de Madrid, con carta fecha el 31 de Marzo último escribe al mismo, y dice: que habiéndose visto precisado á quitar por la desigualdad con que estaban construidas las 18 hoces colocadas entre las 15 ruedas del</t>
  </si>
  <si>
    <t>…edero de su padre D. Jaime Doz, para que dentro del término de 30 dias precisos y perentorios, contados desde 6 del corriente, acu dan á su juzgado por la escribanía del número de D. Tomas de Sancha y Prado 3 deducir su derecho los tenedores de ellos, ó cualquiera de sus anteriores cedentes; con apercibimiento que pasado se procederá á lo que corresponda en justicia, y Ies parará el perjuicio que haya lugar. En la villa de la Adrada, obispado de Avila, tres legu…</t>
  </si>
  <si>
    <t>…e pende ante el linio. Sr. D. Gonzalo Josef de Vilches, decano del Consejo y Cámara de S. M., juez protector de los Santos Luga res de Jerusalen, y por la escribanía del número de D. Tomas de Sancha y Prado, á instancia del. procurador general por S. M. de dichos Santos Luga res sobre la pertenencia de 37 vales Reales de á 600 pesos, 54 de 300 y 67 de 150 , de todas creaciones, que han sido retenidos en la oficina de reno vación , y remitidos al. juzgado por los…</t>
  </si>
  <si>
    <t>Prados, Antonio de</t>
  </si>
  <si>
    <t>Antonio de Prados</t>
  </si>
  <si>
    <t>…o, recibiendo varias heridas peli grosas con golpes de sable. El Rey nuestro Señor se ha servido conceder los empleos siguientes: En España. El gobierno de la plaza de Alhucemas á D. Antonio de Prados, teniente coronel graduado de infantería: la sargentía mayor de la de S. Sebastian de Guipúzcoa á D. Francisco Martínez Noriega, de la misma clase y arma: la ayudantía del castillo de Benasque á D. Josef Carrasco, alférez agregado al estado mayor de la plaza…</t>
  </si>
  <si>
    <t>Prat, Magdalena</t>
  </si>
  <si>
    <t>Magdalena Prat</t>
  </si>
  <si>
    <t>…las niñas Doñi María Vicenta Lorente y González, Doña Magdalena Beltran , Doña Jocefa Andrés y Serra, Doña Josefa Bur gués, Doña María Dominga Aparici, Doña Carmen Sala y Corones, Doña Magdalena Prat, Doña Vicenta Vidal, Doña Vicenta Carruana, Doña Isa bel María Morera, Doña Bernarda Palomares y Doña Antonia Chaubet. D espues de esto, habiendo ocupado los premiados el lugar distinguido según costumbre, y cesado la múdea que solemnizaba este tierno acto, e…</t>
  </si>
  <si>
    <t>Prats, Josef</t>
  </si>
  <si>
    <t>Josef Prats</t>
  </si>
  <si>
    <t>…stillo de Sanlúcar de Guadiana, en Andalucía, al teniente D. Tiburcio Torres r subteniente del re gimiento de infantería de Lorena: la sargentía mayor de la plaza de Hostalrich al capitán D. Josef Prats, teniente del regimiento de infantería de Vito ria: la de Alcántara á D. Ramón Sopeña, comandante del tercer batallón del regimiento de infantería de Lorena: la de Valencia de Alcántara al capitán D. Sebastian Bruget, teniente del regimiento de infantería de…</t>
  </si>
  <si>
    <t>Preciado, Isidoro</t>
  </si>
  <si>
    <t>Isidoro Preciado</t>
  </si>
  <si>
    <t>…de Diciembre último presentó en las salas consistoriales el catedrático D. Salvador Acuña á sus alumnos, niños de seis meses de enseñanza, divididos en tres clases. Abrió el acto D. Isidoro Preciado, niño de 12 años, con una oración latina, que recitó de memoria. En seguida los de la primera clase contestaron á cuan tas preguntas les hicieron sobre la primera parte de la gramática latina el limo. Sr. obispo y algunos individuos del clero, únicos examinad…</t>
  </si>
  <si>
    <t>Presidente, Duque</t>
  </si>
  <si>
    <t>Duque Presidente</t>
  </si>
  <si>
    <t>…o ni á su Presidente por el de la Chandilería de Valladolid, su Regente , ni Fiscales, ni por el mismo Corregidor de Villafrechos: con este motivo se ha servido S. M. comunicar al Sr. Duque Presidente con fecha 11 de Diciembre último su Real resolución , en la que al mismo tiempo que manifiesta haber sido de su Real desagrado la falta de cumpli miento en este caso del Capitán general, Regente y Fiscal de la Chandilería de Valladolid , y Corregidor de Viila…</t>
  </si>
  <si>
    <t>Prevoste</t>
  </si>
  <si>
    <t>…ama de paja mas sosegadamente que los ricos en la suya de pluma: mi sueño es de un hombre pacífico, y el su yo es de un calenturiento, en que no se goza un verdadero descanso,” El lord Prevoste y los magistrados de Glascou han publicado una pro clama, en la cual encargan á todos los cabezas de familia, maestros fabri cantes y demas personas bien intencionadas que vigilen cuidadosamente la</t>
  </si>
  <si>
    <t>Prie, Jaime</t>
  </si>
  <si>
    <t>Jaime Prie</t>
  </si>
  <si>
    <t>…odas direcciones á Ja campaña, en donde fueron destrui dos por las tropas de las trincheras y calles que guarnecían el regimiento del llty, mandado por su comandante accidental el capitán D. Jaime Prie to, y salieron en este instante por algunos destacamentos del regimiento in-</t>
  </si>
  <si>
    <t>Priego, Josef Benito</t>
  </si>
  <si>
    <t>Josef Benito Priego</t>
  </si>
  <si>
    <t>…iguel González___ Los examinadores, admirados de los adelantamientos que en el corto tiempo que llevan de enseñanza manifestaron D. Eusebio Tarancon y Alique, D. Leo nardo Moreno, D. Josef Benito Priego y D. Manuel Castellanos, los cuatro de la primera clase, ofrecieron para ellos un premio separado. Madrid i.° de Enero. El día 3 de Diciembre tuvo la honra de felicitar á S. M. á nombre del ayuntamiento de la ciudad de Huesear D. Josef Manuel Troyano en los tér minos siguientes: „Se…</t>
  </si>
  <si>
    <t>Pros</t>
  </si>
  <si>
    <t>…años. Palacio 26 de Abril de 1817. = Josef Vázquez Figueroa.=Rubricado. = Sr. Secretario del Consejo de Almirantazgo. El Rey nuestro Señor se ha servido conceder su Real permiso á D. Pros pero Amador García y á D. Francisco Alonso Viado, vecinos de la Havana, para usar de la condecoración de la flor de Lis con que los ha agraciado S. M. Cristianísima. Asimismo ha concedido S. M. igual permiso, y con el mismo objeto, á D. Antonio Perez Costas,…</t>
  </si>
  <si>
    <t>Pru, Josef Luaces y</t>
  </si>
  <si>
    <t>Josef Luaces y Pru</t>
  </si>
  <si>
    <t>…no á D. Lucas Vázquez Garcés: para la de Monremayor, en Castilla, á D. Josef Urbano Sancho; y para la de Bodonal á D. Josef de Acha. El Rey nuestro Señor se ha servido conceder á D. Josef Luaces y Pru no, maestrante de Ronda, su Real permiso para que pueda usar de la con decoración de la Vandé con que se ha servido honrarle S. M. Cristianísima. Asimismo se ha dignado S. M. conceder su Real permiso para usar de la condecoración de la flor de Lis con que S.…</t>
  </si>
  <si>
    <t>Prudencio</t>
  </si>
  <si>
    <t>…asatiempos de un gotoso en los ratos de tolerancia; razonamientos morales y literarios entre el Li cenciado Carrasco, quirúrgico físico-médico; Perico Zorzal, llamado el gotoso, y D. Prudencio, teólogo místico, erudito, docto y sabio: por el Dr. D. Josef Pablo Ballot, presbítero. Se venden en la librería de Martínez, frente á S. Felipe el Real, y en Barcelona en-la de Brusi. El Espíritu del Telemaco, ó máximas y reflexiones políticas y morales del…</t>
  </si>
  <si>
    <t>Prusia, Henrique de</t>
  </si>
  <si>
    <t>Henrique de Prusia</t>
  </si>
  <si>
    <t>…acia nuestra, lo que es un verdadero motivo de tristeza para ios súbditos adictos á S. M.» que solo desean ocasiones de dar nuevas pruebas de su amor á sus príncipes legítimos. El príncipe Henrique de Prusia ha reconocido las excavaciones de Pompeya con el caballero Ardid, y se ha manifestado muy complacido, pues tiene grande afición á las artes. Siguen con grande actividad las obras mandadas hacer por S. M. para enriquecer y adornar el museo Borbon. La tranquili…</t>
  </si>
  <si>
    <t>Puente, D Josef María</t>
  </si>
  <si>
    <t>D Josef María Puente</t>
  </si>
  <si>
    <t>…galizada en la se cretaría del Emo. Sr. cardenal patriarca de las Indias en el término de 1 j dias, que fenecerán en 7 de Octubre próximo.. Por providencia de 25 del corriente del Sr. D Josef María Puente, del Conse jo de S. M., alcalde de casa y corte, que por indisposición del Sr. D. Josef Salva dor López del Pan, también alcalde de casa y corte, despacha su audiencia, y re frendada del escribano de provincia y comisiones de la misma D. Luis López de Castro,…</t>
  </si>
  <si>
    <t>Puente, Josef María</t>
  </si>
  <si>
    <t>Josef María Puente</t>
  </si>
  <si>
    <t>…D. Josef Darguines, coronel de los Reales egércitos, y capitán supernumerario del regimiento infantería de Valcnqay; D. Manuel Montalvo y Tabares, coronel del mismo regimiento, y D. Josef María Puente, alcalde de Real casa y corte; el primero de los cuales arengó á S. M. en los términos siguientes: ,, Señor : D. Josef Darguines, caballero de la Real y distinguida orden es pañola de Carlos ni, y de la Real y militar de S. Fernando, coronel de los Reales egé…</t>
  </si>
  <si>
    <t>…El día 11 del pasado tuvieron la honra de felicitar á S. M. por el feliz alumbramiento de la Reina nuestra Señora los sugetos abajo expresados en los términos siguientes: „Señor: D. Josef María Puente, alcalde de casa y corte, D. Manuel Montalvo yTabares, coronel def regimiento de Valencey, y el coronel Don Patricio Domínguez, teniente coronel del mismo regimiento, apoderados de •la muy noble villa de Medellin, provincia de Extremadura, á L. R. P. de V. M.…</t>
  </si>
  <si>
    <t>Puente, Josef Salome García</t>
  </si>
  <si>
    <t>Josef Salome García Puente</t>
  </si>
  <si>
    <t>dias de su Real Persona el Excmo. Sr. duque de Alagon; y acompañado del director del establecimiento D. Josef Salome García Puente, de los ad ministradores principales y demas empleados, visitó detenidamente todos los talleres, trabajos en que se emplean los que allí se educan, y todas las ofici nas de la casa, inquiriendo y examinando menudamente los objetos de ellas, y el estado en que…</t>
  </si>
  <si>
    <t>Puente, Josef Zacarías</t>
  </si>
  <si>
    <t>Josef Zacarías Puente</t>
  </si>
  <si>
    <t>…La gos, idem D. Lope Urriza, del regimiento fijo. El subteniente D. Juan Mo rilla, de la partida de España. El alférez D. Josef Mariano Campo, el ca dete D. Bernardo Franco, idem D. Josef Zacarías Puente, de lanceros. El alférez D. Joaquin Nuñez, de húsares. El alférez D. Antonio Romero, el agregado D. Julián Montero, de realistas del Puente. Campo de Boquilla de Piedra 28 deNoviembre de 1816. = Josef Rincón. DIVISION EXPEDICIONARIA DE VERACRUZ. Relación que…</t>
  </si>
  <si>
    <t>Puerta, Pedro Simón de</t>
  </si>
  <si>
    <t>Pedro Simón de Puerta</t>
  </si>
  <si>
    <t>…ias ante el señor al calde D. Vicente García Cavero, que dando sus señas, y acreditando su pertenen cia, se le entregará sin exigir derechos algunos. Se desea saber el paradero de D. Pedro Simón de Puerta, oficial que era en el año de l3o8 del archivo del supremo Consejo de la Guerra. La persona que tuvie se noticia (ó de sus herederos) se servirá comunicarla al comisario ordenador Don Manuel de Menoyo y Armona, tesorero principal de rentas de la provincia de…</t>
  </si>
  <si>
    <t>Puertas, Tomas Mones y</t>
  </si>
  <si>
    <t>Tomas Mones y Puertas</t>
  </si>
  <si>
    <t>…es y Mario, D. Antonio Venene y Andrade, D. Julián Gata y Malpica, D. Mariano Canals y May oís, D. Juan Molins y Cabañiés, D. Juan de Dios Valera y Viaña, D. Josef Zizur y Azanza, D. Tomas Mones y Puertas, D. Miguel Zizur y Azanza, D. Joaquín Basols y Marañosa, D. Josef Amat y Desvaíls, D. Pablo Navas y Loigorri, D. Josef Navarro y Alarcon , D. Agustín Blake y Tovar, D. Josef Romero Dorado, D. Manuel Vega y Romero, D. Al varo de Navia y Osorio, D. Juan de ia L…</t>
  </si>
  <si>
    <t>Puig, Josef María</t>
  </si>
  <si>
    <t>Josef María Puig</t>
  </si>
  <si>
    <t>…ncia, por medio de la diputación compuesta del Emo. y Excrno. Sr. cardenal patriarca de las Indias , del Exce lentísimo Sr. duque de Hijir, de los limos. Sres. D. Francisco Marín, D. Josef María Puig, del consejo y cámara de S. M., y de D. Bernardo Peris , co ronel graduado de milicias provinciales, y regidor decano de la misma ; y el primero dijo á S. M. : „Señor: La villa de Alcira, que tuvo el honor de obsequiar á V. M. cuando regresó de su penoso caut…</t>
  </si>
  <si>
    <t>Puig, Josef Pía y</t>
  </si>
  <si>
    <t>Josef Pía y Puig</t>
  </si>
  <si>
    <t>…Sahagun Vicente: para la de S. Lorenzo de la Parrilla á D. Francisco Casimiro González de Argandoña : par2 la de Vilialpando á D. Ginés Casanova: para la de Is Ve ga de Valcarce á D. Josef Pía y Puig|: para la de Junquera de Ambia á Don Juan Francisco Bajo: para la de Estrernera á D. Antonio Madoiell y Cas tillo: para la de Monteagudo á D. Mariano Beaumont y Bretón: para la dé Mombeltran á D. Diego Cisneros Valencia: para la de Villanueva del Fres no á D.…</t>
  </si>
  <si>
    <t>Puig, Ramón</t>
  </si>
  <si>
    <t>Ramón Puig</t>
  </si>
  <si>
    <t>…memoriales, dirigiéndolos por el conducto de D. Juan Ramón Ximenez , secretario de ella, que serán admitidos hasta el último dia de Febrero próximo. Se desea saber el paradero de D. Ramón Puig, que fue hecho prisionero de guerra el d.a 7 de Febrero de 1812 en el Rebollar de Siguen», y trasladado con los demas heridos al hospital General de Madrid, desde donde fue conducido 4 Francia el 23 de Marzo de dicho año. Se suplica á quien tuviere noticia de…</t>
  </si>
  <si>
    <t>Pujadas, Josef</t>
  </si>
  <si>
    <t>Josef Pujadas</t>
  </si>
  <si>
    <t>…Joaquín Clavareza, Don Manuel María Ribero, D. Manuel Diaz, D. Vicente Rey, D. Anronio de Prado, D. Manuel Rodríguez Almeida, D. Fermín del Pedregal y D. Ra món Casal. En álgebra D. Josef Pujadas y D. Fermín Galccran. En geometría el citado Martínez , D. Josef María Loureiro, D. Manuel María Vicario , Don Cosme Arias, D. Josef Alonso, D. Benito Pereira, D. Florencio Pereira, D. Juan Francisco Rodríguez, D. Josef Vicente Veiga, D. Joseí Abad y D. Gregorio Cancela. En trigo…</t>
  </si>
  <si>
    <t>Pujol, Josef</t>
  </si>
  <si>
    <t>Josef Pujol</t>
  </si>
  <si>
    <t>…el sitio, cuyo camino anduvo (según su relación) en unos tres cuartos de hora, y dio inmediatamente parte de aquel suceso al gober nador el coronel D. Antonio de Gispert, al baile general D. Josef Pujol, y á D. Antonio Portolá, regidor decano de esta villa, quienes movidos de caridad , y zelosos por el cumplimiento de las leyes, dieron tan prontas y acertadas providencias para salvar la moribunda, enviando todos los socor ros necesarios de gentes, caballería…</t>
  </si>
  <si>
    <t>Qairoga, Tomas Somoza y</t>
  </si>
  <si>
    <t>Tomas Somoza y Qairoga</t>
  </si>
  <si>
    <t>…El dia 21 de Noviembre tuvieron la honra de felicitar al Rey nuestro Señor y besar su Real mano con motivo de su augusto enlace el Excmo. Se ñor marques de Astorga y el licenciado D. Tomas Somoza y Qairoga, Al caide gobernador y regidor decano de la ciudad del mismo título; quien en tre otras cosas dijo lo siguiente: „ Señor: La ciudad de Astorga me dispensa la dulce satisfacción de co misionarme para felicitar á V. M. por el enlace que ha celebrado con S. M. l…</t>
  </si>
  <si>
    <t>Quero, Josef María</t>
  </si>
  <si>
    <t>Josef María Quero</t>
  </si>
  <si>
    <t>…cazadores, que maniobró con el mayor tino, serenidad y entusiasmo: al sargento mayor comandante del tercer batallón de Numancia D. Ildefonso de Arce, y ai ayudante mayor del mismo D. Josef María Quero, que se portaron con to da energía, y con su egemplo y persuasión lograron exaltar su tropa: al te niente coronel de caballería D. Remigio Ramos, que á pesar de que sus sol dados eran gente bisoña del pais y estaban mal montados, supo sacar de ellos cuanto fr…</t>
  </si>
  <si>
    <t>Quesada, Antonio de</t>
  </si>
  <si>
    <t>Antonio de Quesada</t>
  </si>
  <si>
    <t>88</t>
  </si>
  <si>
    <t>…sean despedidos si no asistiesen con puntualidad, ó se notase en ellos alguna relajación en sus costumbres. Sevilla 6 de Enero. Por los partes dados al brigadier de la Real armada D. Antonio de Quesada , comandante del tercio naval de Sevilla, individuo de la junta conserva dora , y encargado por ella y por el Excmo. Sr. capitán general del depar tamento de la Isla de León de la policía del rio Guadalquivir, aparece que desde el 7 de Diciembre último hasta…</t>
  </si>
  <si>
    <t>Quesada, Josefa</t>
  </si>
  <si>
    <t>Josefa Quesada</t>
  </si>
  <si>
    <t>…anas por las reglas caligráficas, y varias labores de costura , hasta bordados de co lores en seda. Las sobresalientes y concluidas en todos los ramos fueron Doña Antonia Hidalgo, Doña Josefa Quesada y Doña Ana Soto Sánchez, á las cuales se les asignó en premio una dote para si tomasen el estado matrimonial, una medalla de plata de cerca de una onza, un cuaderno de muestras por D. Torcuato Torio , un alfiletero de plata y unas tijeras. Los nombres y premios de las demas alumnas…</t>
  </si>
  <si>
    <t>Quevedo, Alejandro de</t>
  </si>
  <si>
    <t>Alejandro de Quevedo</t>
  </si>
  <si>
    <t>…a po blación es de 550 vecinos, se halla vacante el partido de sangrador y barbero, y por su-desempeño tiene la asignación de ocho rs. diarios pagados mensualmente por su cirujano D. Alejandro de Quevedo, quedando también á su favor propinas y gages eventuales de vecinos y forasteros, que todo asciende á 400 ducados anuos. Los pretendientes podrán dirigir sus solicitudes á dicho D. Alejandro hasta fin del cor riente mes. Se halla vacante la plaza de maestro d…</t>
  </si>
  <si>
    <t>Quevedo, Manuel de</t>
  </si>
  <si>
    <t>Manuel de Quevedo</t>
  </si>
  <si>
    <t>…fe liz enlace con la Serma. Sra. Infanta de Portugal Doña María Isabel , á nombre del cabildo de Urgel, el Dr. D. Bernardo Francés Caballero, obispo electo de aquella diócesis, y D. Manuel de Quevedo, dignidad de arcediano de Andorra, é inquisidor de Toledo; de los cuales el primero dijo: ,,Señor: El cabildo de Urgel, representado por el obispo que V. M. aca ba de nombrar, y por uno de sus primeras dignidades, se postra á sus R. P. para dar un testimonio…</t>
  </si>
  <si>
    <t>Quey, Fernando</t>
  </si>
  <si>
    <t>Fernando Quey</t>
  </si>
  <si>
    <t>…imo. Sr. obispo auxiliar de esta corte; habiéndose dignado igualmente la Serma. Sra. Infanta D ña María Francisca de Asís ser su ma drina, y en su Real nombre el mencionado Excmo. Sr. D. Fernando Quey po de Llano. Noticia de los dias que S. M, ha señalado para que se celebren las ex tracciones de la Real lotería primitiva en el año de 1818. Dista de la anterior 1.a En 19 de Enero................................... 27 dias* 2. a En 16 de Febrero............…</t>
  </si>
  <si>
    <t>Queypo, Fernando</t>
  </si>
  <si>
    <t>Fernando Queypo</t>
  </si>
  <si>
    <t>…n guían el Nuncio de S. S. y varios Prelados, con otras personas de la mas alta gerarquía. Finalizada función tan piadosa y edificativa, la nueva cristiana, acom pañada del Excmo. Sr. D. Fernando Queypo y del R. P. Fr. Josef de Santa María de Nieva, fue conducida al Real Palacio , y presentada á los Sermos. Sres. Infantes D. Carlos María y Doña María Francisca de Asís, quienes la recibieron con las mayores demostraciones de su Real agrado, y tuvo la honra de…</t>
  </si>
  <si>
    <t>Quijada, Antonio María</t>
  </si>
  <si>
    <t>Antonio María Quijada</t>
  </si>
  <si>
    <t>…a Granja de Quintanajuar, y diferentes efectos raíces en el de la ciudad de Bur gos y sus inmediaciones, los cuales corresponden á Jos mayorazgos que poseyó hasta su fallecimiento D. Antonio María Quijada, regidor que fue de esta heroica villa, denunciados en el concepto de no haber quedado poseedor conocido; y por provi dencia de 26 de Abril último se ha mandado entre otras cosas por el señor subde legado general del mismo ramo se fijen los dos edictos que fa…</t>
  </si>
  <si>
    <t>Quijote</t>
  </si>
  <si>
    <t>…e Niebla. Historia razonada de la gloriosa revolución de España hasta su conclusión, j entrada del Sr. D. Fernando vri en Madrid en 13 de Mayo de 1814. zz:Napoleón, © el verdadero D. Quijote de la Europa, zz La Inquisición justamente restablecida, ó impugnación de los anales de D. Juan Antonio Llórente, y del manifiesto de las cortes de Cádiz. Véndese en las librerías de Perez, Ranz, Higuera y Minutria. Colección de muestras para aprender á escri…</t>
  </si>
  <si>
    <t>…Véndese á 4 rs. en las librerías de Perez, Ranz, Higuera y Minutria, y en las mismas se hallarán la Historia razonada de la gloriosa revolución de España: el Napoleón, ó verdadero D. Quijote de la Europa, y la Inquisición justamente restablecida, ó impugnación de los anales de la misma inquisición, escritos por D. Juan Antonio Llórente, y del manifiesto que publicaron las Cortes de Cádiz para justificar la supresión de aquel tribunal. Arte de can…</t>
  </si>
  <si>
    <t>Quille, Bartolomé</t>
  </si>
  <si>
    <t>Bartolomé Quille</t>
  </si>
  <si>
    <t>…buido con sus superiores al adelantamiento de todos los examinandos, y se les sirvió un abundante refresco, concluyéndose las fundones con vivas y salvas de fusilería dingidas por D. Bartolomé Quille, que felizmente se ha llaba en la villa como comandante de una partida destinada á perseguir mal hechores. Calahorra ir, de Junio. La extraordinaria sequía experimentada en casi todo el reino en el pre sente año, de la que apenas se había conocido egemplar ig…</t>
  </si>
  <si>
    <t>Quiñones, Josef</t>
  </si>
  <si>
    <t>Josef Quiñones</t>
  </si>
  <si>
    <t>…rece y le ha acre ditado en todas las acciones de guerra, como igualmente al ayudante de este gefe D. Manuel Manso, teniente de realistas de Tampico; al subteniente de Extremadura D. Josef Quiñones, por haber dirigido la fortificación de mi lí nea bajo el continuo fuego de los enemigos, y ai cadete de cazadores de Ex tremadura D. Miguel Aguayo, que en este lance acreditó- ser el primer sol dado de la compañía. Dígnese pues V. E. de admitir la distinción…</t>
  </si>
  <si>
    <t>Quinranar, Luis</t>
  </si>
  <si>
    <t>Luis Quinranar</t>
  </si>
  <si>
    <t>…, en que se celebró la milagrosa apa rición de nuestra Señora de Guadalupe, se recibió oficio del coronel D. Fran cisco Orrantia,en Salvatierra , de haberse presentado al teniente coronel Don Luis Quinranar los cabecillas Vargas y Salgado con sus partidas á gozar del indulto, entregando á dicho gefe el fuerte de Carrizalillo situado entre los Reyes y Apacingan, lugar en que la junta rebelde fraguó su revolucionaria constitución. En 14 de Octubre anterior se apod…</t>
  </si>
  <si>
    <t>Quintana, Ramón</t>
  </si>
  <si>
    <t>Ramón Quintana</t>
  </si>
  <si>
    <t>…án chez , alias Trapos Alegres, y seis caballos y una ínula ensillada del cabeci lla Montes. Dios guarde á vmd. muchos años. Tlaxcala Mayo 15 de 1816. = Josef Rubio. = Sr. capitán comandante D. Ramón Quintana.” 2.0 ,,Cumpliendo con la orden de vmd. salí ayer á Jas 12 del dia con el sub teniente D. Juan Josef Revilla y 30 infantes de esta compañía que se halla á mi cargo, y 25 de caballería , mandados por su teniente D. Josef Rubio y al férez D. Agustín Santiestéba…</t>
  </si>
  <si>
    <t>Quintana, Ranaon</t>
  </si>
  <si>
    <t>Ranaon Quintana</t>
  </si>
  <si>
    <t>…dar gene ralmente el valor y serenidad con que se manifestaron tanto oficiales como soldados. Dios guarde á vmd. muchos años. Tlaxcala Mayo 17 de 1816. = Josef Bahi. = Ss. capitán comandante D. Ranaon Quintana.” Madrid 2$ de Enero. El dia 8 del corriente tuvieron la honra de besar la mano á S. M. á nom bre de la ciudad de Llerena, y felicitarle por haberse verificado sus augustos enlaces matrimoniales con la Reina nuestra Señora, el limo. Sr. D. Anto nio María Izqu…</t>
  </si>
  <si>
    <t>Quintanar, Luis</t>
  </si>
  <si>
    <t>Luis Quintanar</t>
  </si>
  <si>
    <t>…ebeldes de la isla de Mescala lo han veriiicado también, según noticias de la villa de Zamora, los cabecillas Vargas y Salgado con sus gavillas, presentándose al teniente coro nel D. Luis Quintanar, el que se dirigid con los expresados á tomar pose sión del fuerte del Carrizalillo, que está entre los Reyes y Apacingan, y aseguran que todos los rebeldes de aquel rumbo van haciendo lo mismo: lo que comunico á V. E. para su satisfacción. ,,Dios guarde á V.…</t>
  </si>
  <si>
    <t>Quintaniila, Juan de</t>
  </si>
  <si>
    <t>Juan de Quintaniila</t>
  </si>
  <si>
    <t>…de Moron : en sintaxis, prosodia y arte métrica D. Benito de Salas y Vida! y D. Luis García Monge, ambos de Lebrija: en rudimentos D. Juan Fayula, D. Pedro Garfia, D. Pablo Pavón, D. Juan de Quintaniila, D. Francisco Xavier Morales, D. Rafael Muñoz, todos de Lebrija, y D. Francisco de Paula González y Peña, de Sanlucar de Barrameda : en gramática castella na D. Josef Perez de la Torre de las montañas de Santander, y D. Josef Ma ría Moreno, de Xerez de la Fro…</t>
  </si>
  <si>
    <t>Quintanilla, Francisco</t>
  </si>
  <si>
    <t>Francisco Quintanilla</t>
  </si>
  <si>
    <t>…ra reconocer la fuerza rebelde. Desde esta observé que ademas de los de Borja, que serian en número de 8o, se aumentaba la gavilla por instantes; y entonces mandé á mi ayudante el teniente D. Francisco Quintanilla, que dejando la caballada ensillada en los corrales, cubriese con los dragones del Príncipe, realistas de esta arma de las haciendas y de infantería de este pue blo las dos azoteas, ventanas de celdas y claustros y puertas bajas de la ca lle, ocupando la prin…</t>
  </si>
  <si>
    <t>…a para ser empleados; y suplico á vmd. lo haga presente al comandante general para las gracias que tenga á bien dispensarles. „Mis ayudantes los tenientes del batallón de mi mando D. Francisco Quintanilla y D. Manuel de la Llata comunicaron mis órdenes con prontitud y valor. „Dios guarde á vmd. muchos años. Yurirapúndaro Febrero 26 de 1817.=; Manuel Bezanilla. = Sr. teniente coronel D. Antonio Larragoiti.” Ademas de los sugetos referidos que se han distinguido en ésta acc…</t>
  </si>
  <si>
    <t>Quintanilla, Josef de Alonso</t>
  </si>
  <si>
    <t>Josef de Alonso Quintanilla</t>
  </si>
  <si>
    <t>…atase en una disertación en lengua castellana y destinada á un solo asunto la malignidad febril, la calentura puerperal, la hipocondría y la elefantiasis, D. Pedro Rafael Bonilla, D. Josef de Alonso Quintanilla , D. Manuel Rodríguez Lancha y D. Josef María Benito y Lentijo, que eran los que se hallaban en disposición de poder aspirar al premio, firmaron con efecto á este intento; y sin embargo de que todos han desempeñado el objeto que se les confió á satisfacción d…</t>
  </si>
  <si>
    <t>Quintanilla, Julián Satnz de</t>
  </si>
  <si>
    <t>Julián Satnz de Quintanilla</t>
  </si>
  <si>
    <t>…a un asunto que la interesa, preguntando por D. Tomas Lozano, capellán de nuestra Señora del monte de Piedad , que vive en dicha casa cuarto segundo. Se desea saber el paradero de D. Julián Satnz de Quintanilla, que salió de su casa el 1 2 de Mayo de 1812, y sirvió en el regimiento de los húsares de Oporto, núm. 12. El que tuviere alguna noticia de este sugeto hará el favor de comunicarla á D. Miguel Dolz, que vive en la calle de la Luna, núm. 7, cuarto principal. C…</t>
  </si>
  <si>
    <t>Quintanilla, Narciso Roque</t>
  </si>
  <si>
    <t>Narciso Roque Quintanilla</t>
  </si>
  <si>
    <t>…por las inmediaciones de su Real Sitio de Aran juez. Por providencia del Sr. D. Andrés Oller, del Consejo de S. M., alcalde de ca sa r corte, dada á instancia de los herederos de D. Narciso Roque Quintanilla, se hamacado á pública subasta por 20 dias precisos primeros Siguientes a! en que se anuncie per gaceta, una casa en el Real sitio de Aranjuez en la calle del Foso, fren te á la huerta de Secano, señalada con el número 4 de Ja manzana 28, tasada en 261316 rs.…</t>
  </si>
  <si>
    <t>…z Noriega, se procederá al rem ite de una ca sa sita en el Real sitio de Aranjuez, calle del Foso, núm. 4, manz. 28, frente á la huerta de Secano, que pertenece á los herederos de D. Narciso Roque Quintanilla, tasada en 261316 rs. 20 mrs. vn. todo lo construido en 16236 pies superficiales de sitio que comprende, sin incluir el valor de estos, por pertenecer á S. M. su terre no, como lo demas de aquel Real sitio, con cuyo Real permiso se enagena; y ten drá efecto e…</t>
  </si>
  <si>
    <t>Quintano, Antonio</t>
  </si>
  <si>
    <t>Antonio Quintano</t>
  </si>
  <si>
    <t>…la Real arma da, y con especialidad la del coir.ondante de la escuadra capitán de fragata D. Josef María Chacón, el de la misma clase D. Francisco Topete, y el te niente de navio D. Antonio Quintano. Por último hace una distinguida memoria de las recomendables prendas del joven D. Cosme Payés, teniente del regimiento de Navarra, que pereció gloriosamente, y cuya familia recomienda á la consideración del Soberano. Ocupación del pueblo de Porlamar. La abso…</t>
  </si>
  <si>
    <t>Quintero, Josef Antonio</t>
  </si>
  <si>
    <t>Josef Antonio Quintero</t>
  </si>
  <si>
    <t>…o se le pasó oficio de ruego y encargo, el diputado D. Juan Antonio Sala, teniente de la compañía de realistas fieles del mismo partido, que hace de síndico, y el capitán retirado D. Josef Antonio Quintero, y el capitán comandante de las armas D. An tonio de Alias y Franco, á quienes el. público nombró el dia de ayer, des pués de haberse publicado el bando del Excmo. Sr. virey de este reino de 24 de Mayo último para que asistiesen á este acto; estando juntos y…</t>
  </si>
  <si>
    <t>Quiroga, Francisco</t>
  </si>
  <si>
    <t>Francisco Quiroga</t>
  </si>
  <si>
    <t>…astre, reunido con el se ñor cura Dr. D. JosefEduardo de Cárdenas en la casa de su morada, los dos vecinos honrados capitán retirado D. Domingo Barroso, y el teniente de realistas D. Francisco Quiroga y el diputado D. Josef Anselmo Rizo y Correa , certificamos y damos fe y verdadero testimonio, y en caso necesario lo rubricaremos con nuestra propia sangre, que ni al presente ni en ningún tiempo, ni directa ni indirectamente, ni de cualquiera otro modo este…</t>
  </si>
  <si>
    <t>Ra</t>
  </si>
  <si>
    <t>…esta ciudad contribuir por su parte á que se realicen las justas intenciones de S. M. en cuanto á fomentar la educa ción pública , y noticioso de que las alumnas de la academia de Doña Ra faela San Miguel aspiraban á dar un testimonio de sus adelantamientos al concluir la octava que su inocente piedad había consagrado á su especial patrona María Santísima en el alto misterio de su inmaculada Concepción, acordó nombrar dos comisionados que en r…</t>
  </si>
  <si>
    <t>…colgar para escarmiento de los de su clase. „En este parage recibí la imagen de nuestra Señora de los Remedios de Zitacuaro, que con una escolta remitió el comandante de Acambsro D. Ra món Requera , con toda la pista y alhajas de la Virgen: en seguida marché por Maravatio, Tlapujahua, Angangueo y Zitacuaro, cuyos pueblos han re cibido á esta imagen con las mayores demostraciones de júbilo, causando ios mejores efectos , pues me pidieron la…</t>
  </si>
  <si>
    <t>Ra, Josef Antonio</t>
  </si>
  <si>
    <t>Josef Antonio Ra</t>
  </si>
  <si>
    <t>…y bienes que fueron de D. Pablo Bas, Don Félix y Dona Magdalena Bas y Balaguer, y los de D. Francisco y D. Ignacio Bas, se cita de nuevo, llama y emplaza por retardado ai referido D. Josef Antonio Ra bert Santa Susana y Moner, cuyo paradero se ignora, y en su defecto á sus herede ros y sucesores, para que vengan y se presenten en este supremo Consejo por la es cribanía de cámara y de gobierno de él por lo tocante á los reinos de la corona de Aragón, que e…</t>
  </si>
  <si>
    <t>Ra, Liborio de Tudeia y</t>
  </si>
  <si>
    <t>Liborio de Tudeia y Ra</t>
  </si>
  <si>
    <t>…propio tribunal, conceder la permuta que solicitaron de sus va ras el alcalde mayor de la villa de Los Santos D. Francisco Xavier López Duque, y el de la del Quintanar de la Orden D. Liborio de Tudeia y Ra mos , para que aquel cumpla su sexenio en el Quintanar, y este en Los Santos. El Rey nuestro Señor se sirvió nombrar para segundo cabo comandante general de la provincia de Castilla la Vieja al mariscal de campo D. Juan Poutous y Mojica: para gobernador milit…</t>
  </si>
  <si>
    <t>Ra, Luis</t>
  </si>
  <si>
    <t>Luis Ra</t>
  </si>
  <si>
    <t>…r. coronel D. Pedro Menezo.” Madrid jj de Enero. Los ayuntamientos de las villas de Sta. Marra y la Torre de los Sexme ros, provincia de Extremadura, por medio de sus comisionados D. Luis Ra mírez Tous de Monsaive, de la orden militar de Alcántara , capellán de ho nor de S. M.‘, socio secretario de la diputación permanente por la Real junta de la ciudad de Lucena, y D. Josef Matos, escribano público y de cabildo de la última, tuvieron el honor en…</t>
  </si>
  <si>
    <t>Rábago</t>
  </si>
  <si>
    <t>…haciéndolos replegar á su primera formación , adonde siguiéndolos con ardor el capitán Barros, me avisó mi ayudante Quintanilla que trataban de cortarle, por lo que dispuse que el capitán Rábago con el resto de ia infantería y el pedrero acudiese á protegerle. Esta providencia, y la de haberse retirado Barros á una casa contigua, donde se hallaba la partida de Llata y los Vázquez, evitó alguna desgracia , causando á los rebeldes tanto temor y pérdida…</t>
  </si>
  <si>
    <t>Rábago, Josef Diaz</t>
  </si>
  <si>
    <t>Josef Diaz Rábago</t>
  </si>
  <si>
    <t>Para el de Cuenca en Salamanca. Rector D. Hermenegildo Fernandez Cuadrillero. Consiliario i.° D. Juan Pedro Da^uerre y Larroder. Idem 2.0 D. Josef Diaz Rábago. Idem 3.0 Don Josef María Anchuelo y Guzman. Capellán D, León Ramón del Valle. Para el de Oviedo en Salamanca. Rector D. Manuel Luciano Alemán. Consiliario i.° D. Manuel Barrio Ayuso. Idem 2.0 D. Antonio González Miranda. Idem 3.0 D. Diego Suarez. Capellán D.…</t>
  </si>
  <si>
    <t>Rábago, Juan Domingo</t>
  </si>
  <si>
    <t>Juan Domingo Rábago</t>
  </si>
  <si>
    <t>Príncipe D. Martin Martínez Navarrete con &lt;¡o caballos á dicha hacienda. A la legua y media recibí parte de mi segundo ti capitán D. Juan Domingo Rábago de que los enemigos se habían presentado por el rumbo del valle. Inmediatamente dirigí dos correos para que verbalmente instruyeran á vmd. de lo ocurrido, y yo retrocedí á este pueblo con la satisfacción de conocer la buena disposición de la tropa en el regoc…</t>
  </si>
  <si>
    <t>Rada, Manuel de</t>
  </si>
  <si>
    <t>Manuel de Rada</t>
  </si>
  <si>
    <t>…fante D. Cárlos. ARTICULO DE OFICIO. S. M. se ha servido nombrar para la vara de alcalde mayor segundo de la ciudad de Zaragoza á D. Juan María de la Torre: para la de Tarragona á D. Manuel de Rada: para la de la villa de Enguera á D. Juan Antonio Bolaño; y para la de Cheite á D. Francisco Xavier Fernandez Trapiella. Por Real resolución, á consulta de la Cámara, se ha servido S. M. con ceder á D. Alonso Comieras Torres de Portugal y Espejo la gracia de…</t>
  </si>
  <si>
    <t>Radillo, Francisco Xavier</t>
  </si>
  <si>
    <t>Francisco Xavier Radillo</t>
  </si>
  <si>
    <t>…m............ En Málaga. 27299 1000 idem............ En Alicante. 14231, icco idem............ En Reus. ARTICULO DB OFICIO. El comandante de matrícula y capitán del puerto de Cuba D. Francisco Xavier Radillo comunicó en 9 de Octubre último al comandante general in terino de la Havana, y este al Sr. ministro de Estado y del despacho de Ma rina, un parte, cuyo extracto es como sigue: „ Habiendo sido apresado al S. de la isla de Sto. Domingo el bergantín español Nue…</t>
  </si>
  <si>
    <t>Rafael</t>
  </si>
  <si>
    <t>…desplegado.” Posteriormente ha recibido dicho Sr. secretario del Despacho el boletín del egercito expedicionario, número 36, de 14 del propio mes, del cual re sulta que hallándose D. Rafael de la Iglesia y D. Mateo Ocampo al norte de la isla de Margarita con el bergantín Intrépido y goleta Rita de su mando, fueron atacados por todas las fuerzas de los sediciosos , emprendiéndose un combate tan obstinado que la historia presenta pocas veces otro…</t>
  </si>
  <si>
    <t>Rafols, Juan</t>
  </si>
  <si>
    <t>Juan Rafols</t>
  </si>
  <si>
    <t>…presentados al indulto en el pueblo de Huamantla, que merecen ser creídos por la buena disposición que manifes taron en aquel acto, supo de positivo mi segundo de aquella sección D. Juan Rafols , sargento mayor del batallón i.° Americano , que los cabecillas Couto, Osorno , Espinosa é Inclan tuvieron entre sí una fuerte disputa en el pueblo de S. Andrés Chalchicomuia, sobre admitir ó no el indulto que por una carta les ofrecieron los Teranes y el co…</t>
  </si>
  <si>
    <t>…do en lo general pa rece que había tomado el mismo Osorno por la rendición de los Teranes. De consiguiente recomiendo, á V. E, muy particularmente la actividad del sar gento mayor D. Juan Rafols, la del capitán de dragones de S. Luis D. Anas tasio Bustamente, y la de los demas oficiales y tropa que han concurrido á esta expedición., de que daré á V. E. el debido conocimiento. Dios guarde á V. E. muchos años. Tiasco 6 de Febrero de 1817 á las &amp; de la…</t>
  </si>
  <si>
    <t>Rahi, Josef</t>
  </si>
  <si>
    <t>Josef Rahi</t>
  </si>
  <si>
    <t>128 „Excmo. Sr.: El comandante de las armas de Tlaxcala me ha remitido los dos partes originales que le pasaron el teniente D. Josef Rubio y subte niente D. Josef Rahi de dos salidas que hicieron de aquella plaza con la tro pa que el referido comandante puso á sus respectivas órdenes, los cuales acompaño á V. E. para su superior conocimiento. „Dios guarde á V. E. muchos años. Puebla Junio 3 de 1816. = Excelen tísimo Sr. = C…</t>
  </si>
  <si>
    <t>Ramírez, Patricio</t>
  </si>
  <si>
    <t>Patricio Ramírez</t>
  </si>
  <si>
    <t>…tai vez los que no han logrado experimentarla, y se propague por consiguiente su uso con co nocida ventaja de la agricultura, que es el objeto que anima á este cuerpo patriótico. D. Patricio Ramírez, canónigo de Alcalá de Henares, con carta fecha el 29 de Julio último, y dirigida á D. Casto García de Castro, segundo di rector de la sociedad, escribe: ,,Este trillo está trillando con tanta ventaja grano y paja, que ahorra mas de la mitad del gasto, por lo…</t>
  </si>
  <si>
    <t>Ramírez, Pedro Josef</t>
  </si>
  <si>
    <t>Pedro Josef Ramírez</t>
  </si>
  <si>
    <t>…mbre de 1808 : 233 y 276 D. Antonio Martínez (de Cuenca) : 3771,6116,8340 y 1 2246 Señor tesorero general.__De 300 pesos de Setiembre de 1808: 34495 D. Manuel dejas Fuentes: 34864 D. Pedro Josef Ramírez (de Santander): 44067 Do mingo Párramo___De 150 pesos de Setiembre de 1808: 176734 y 200685 Sr. tesorero general: 202814 D. Manuel Angel Indo: 202863 Domingo Pár ramo: 202951 D. Joaquín Casale: 203417 Domingo Párramo: 203537 y 204419 D. Manuel Angel Indo: 204…</t>
  </si>
  <si>
    <t>Ramiro, Julián Mateos de</t>
  </si>
  <si>
    <t>Julián Mateos de Ramiro</t>
  </si>
  <si>
    <t>…esta ciudad, cuyos elogios dieron mayor brillo al egercicio. Fueron examinadores el doctor D. Diego de Parada, rector que fue de la Real universidad de Alcalá de He nares; el Dr. D. Julián Mateos de Ramiro, cura párroco de la de S. Pedro de esta ciudad, y los Dres. D. Francisco Blanco y D. Miguel Bovela, mé dicos titulares de la misma. Al examen público precedió otro particular de aquellos que se habían de presentar si público á merecer la aprobación en gramáti…</t>
  </si>
  <si>
    <t>Ramón</t>
  </si>
  <si>
    <t>…ovidencia difinitiva que cor responda, y Ies parará el perjuicio que haya lugar. Quien supiere del destino de D. Isidro Mendoza, natural de Salamanca, y veci no de Madrid, hijo de D. Ramón y de Doña María Francisca Peraira, que casó en la Membrilla, provincia de la Mancha, con Doña Eugenia García Nuñez, y salló de la Coruña en el año de 1811 con dirección á Granada, tendrá la bondad de no ticiarlo al cura párroco del mismo pueblo de la Membrill…</t>
  </si>
  <si>
    <t>…u ayuntamiento D. Manuel Tiburcio López *, en la inteligencia de que á los 15 días de este anuncio se ha de proveer. Teatro ó colección de los sainetes y demas obras dramáticas de D. Ramón de la Cruz y Cano: tomos 5.0, ó.°, 7.0, 8.°, g.° y 10.°, impresos en 1789. Véndese á 11 rs. cada tomo en papel en el almacén de la imprenta Real. Carta satírico-crítica sobre los abusos que cometen los que siguen ciegamente las modas: folleto en 8.°, impreso…</t>
  </si>
  <si>
    <t>Ramón, Adrián Coilantes y</t>
  </si>
  <si>
    <t>Adrián Coilantes y Ramón</t>
  </si>
  <si>
    <t>…de mayores de gramática latina; D. Leonardo y D Francisco Gómez -en -la de medianos; D. Josef Félix del Campo, D. Josef Gallo, D. Juan Ca no y D. Pedro Capillas en la de menores ¿ D. Adrián Coilantes y Ramón</t>
  </si>
  <si>
    <t>Ramos, Ana Sancho</t>
  </si>
  <si>
    <t>Ana Sancho Ramos</t>
  </si>
  <si>
    <t>…ldo de esta corte, señalada con el núm. 1 , manz. 516; y ha biendo ocurrido el fallecimiento de D. Josef Mendez de la Vega, que se mostró parte en ellos por sí y como apoderado de Doña Ana Sancho Ramos, su hermana política, y madre de Urbano, Julián y Cipriano, hijo y nietos respective de Fran cisca Infanzón García, vecina que fue de esta propia corte, se cita, llama y empla za á los herederos del citado D. Josef Mendez de la Vega, y á los expresados Ur ban…</t>
  </si>
  <si>
    <t>Ramos, Cayetano de</t>
  </si>
  <si>
    <t>Cayetano de Ramos</t>
  </si>
  <si>
    <t>37</t>
  </si>
  <si>
    <t>…risión y 50 francos de multa , y á permanecer, concluido el t iempo de la condena , bajo la vigilancia de la alta policía por espacio de dos años. _ ESPAÑA. Llanes 2 de Diciembre. D. Cayetano de Ramos, maestro titular de primeras letras de la villa de Llanes , en el principado de Asturias, animado de los progresos que otros maestros hacían en sus escuelas, y deseoso de imitar su zelo y aplicación, se dedicó al estudio de los mejores autores de educación ,…</t>
  </si>
  <si>
    <t>Ramos, Isidro</t>
  </si>
  <si>
    <t>Isidro Ramos</t>
  </si>
  <si>
    <t>…razón de los pueblos de gran consideración que se hallan en su inmediación. Los pretendientes dirigirán sus memoriales al re gente de la escribanía de ayuntamiento de dicha villa D. Isidro Ramos hasta el dia 13 del próximo mes de Junio. La escribanía numeraria de la villa de Humanes de Madrid, valuada en 1150 reales vellón, se halla vacante. Los pretendientes á ella dirigirán sus memoriales hasta el 31 de Mayo á la justicia ordinaria de la misma, fra…</t>
  </si>
  <si>
    <t>Ramos, Remigio</t>
  </si>
  <si>
    <t>Remigio Ramos</t>
  </si>
  <si>
    <t>…y ai ayudante mayor del mismo D. Josef María Quero, que se portaron con to da energía, y con su egemplo y persuasión lograron exaltar su tropa: al te niente coronel de caballería D. Remigio Ramos, que á pesar de que sus sol dados eran gente bisoña del pais y estaban mal montados, supo sacar de ellos cuanto fruto podía esperarse, y dio nuevas, pruebas de su bizarría y activi dad, bien conocidas: al comandante de escuadrón D. Ramón García por ia valentí…</t>
  </si>
  <si>
    <t>Raneé</t>
  </si>
  <si>
    <t>…e Octubre de 1816, dirigido al superior del monasterio de Port-Salut, autorizó á los que acos tumbraban á hacer las mayores austeridades, á limitarse á las que había pres crito el abad Raneé, como mas acomodadas á la debilidad humana. ESPAÑA. Madrid ji de Mayo. Por cartas recibidas de Gibraltar se acaba de tener la noticia de que el cgército portugués de Rio-Janeiro ha tomado la plaza de Montevideo, que tiempo hace gemía bajo el yugo opresor de l…</t>
  </si>
  <si>
    <t>RaschidMustafa-Tsehelebi-EfFe</t>
  </si>
  <si>
    <t>…quella plaza para reparar las for tificaciones. La caravana de los peregrinos de la Meca llegó aquí el 8 de este mes, man dada por Surre-Emini-Said-Effendi; en ella iba el antiguo ministro RaschidMustafa-Tsehelebi-EfFendi, que es muy anciano. El Sultán, el Capitan-bajá y algunos de los ministros principales fueron sin aparato á la gran llanura de Heydar, cerca de Scútari, á ver en medio de un concurso inmenso de todas clases la vuelta de los peregrinos y peregrinas, asi com…</t>
  </si>
  <si>
    <t>Rascón, Víctor</t>
  </si>
  <si>
    <t>Víctor Rascón</t>
  </si>
  <si>
    <t>…ada en Palacio á 18 de Marzo de 1817.= YO EL REY. = Yo D. Marcelo de Ondarza, Secretario del Rey nuestro Señor, lo hice escribir por su mandado. = El Almirante ‘Duque de Veragua.c=D. Víctor Rascón. = D. Josef Martínez de Bustos. = D. Francisco Sánchez Gadeo. El Rey se ha servido promover á gefe de escuela en el departamento de Artillería de la Coruña al mariscal de campo D. Joaquín de Ibarra, coro nel de dicha arma. Ed Rey nuestro Señor se ha servido c…</t>
  </si>
  <si>
    <t>Raya, Jfian</t>
  </si>
  <si>
    <t>Jfian Raya</t>
  </si>
  <si>
    <t>…r postura acuda ante el Sr. D. León de la Cámara Cano, del Consejo de $. M. en el supremo de Hacienda, teniente corregidor de esta villa, por la escribanía de su número que egerce D. Jfian Raya. La escribanía de número y ayuntamiento de la villa de Humane9 de Madrid, que antes correspondía su nombramiento al Excmo. Sr. duque de Frías, se halla va cante por fallecimiento de Bartolomé Martin Adeba, y se ha tasado su renta anual en 1150 rs. Los pretend…</t>
  </si>
  <si>
    <t>Raya, Juan</t>
  </si>
  <si>
    <t>Juan Raya</t>
  </si>
  <si>
    <t>…a, pen diente ante el Sr. D. León de la Cámara Cano, del Consejo de S. M. en el supremo de Hacienda, y teniente corregidor de esta villa, por la escribanía de su número que egerce D. Juan Raya; apercibidos que pasado, sin mas citación ni emplazamiento en su ausencia y rebeldía, se procederá á lo que haya lugar, haciéndose las notifica ciones que con ellos ocurran en los estrados de la audiencia del mismo señor, y les parará el mismo perjuicio que s…</t>
  </si>
  <si>
    <t>…sefa Guerrero de Torres, vecina de la ciudad de Gra nada, tasadas en el año de 1795 en la cantidad de 93920 rs. La persona que quie ra informarse podrá hacerlo en la escribanía de D. Juan Raya, donde existen los antecedentes y la Real facultad para dicha enagenacion; y de la persona con quien se haya de tratar darán razón en esta corte, calle del Olivo bajo, núm. 11, cuar to bajo. En virtud de providencia del Sr. D. Martin de Gaztanaga, del Consejo…</t>
  </si>
  <si>
    <t>…ta y em plaza á todos los que puedan tener derecho á.los mismos vales para que dentro efe 15 días precisos acudan ante el mismo-señor juez, por la escribanía del número que egerce D. Juan Raya:, á usar de sus acciones; con apercibimiento que pasado di'cho término y no compareciendo,' sífü mas citación se continuará el asunto en su Ausencia y rebeldía hasta fa determinación, haciéndose las notificaciones en estra dos, y les parará, el mismo perjuici…</t>
  </si>
  <si>
    <t>…amente dichas fincas, á causa de estar ambas gravadas con las indicadas cargas. Quien quisiere tratar de su compra podrá acudir á la escribanía del número de esta villa que egerce D. Juan Raya. Habiéndose estimado por formado concurso necesario á los bienes que dejó Don Benito Diez del Valle, portero que fue del Real y supremo Consejo de Jas Indias, se cita y emplaza á los que seah acreedores á él, para que dentro de 15 días, con tados desde hoy, e…</t>
  </si>
  <si>
    <t>…postura acuda ante el Sr. D. León de la Camara Cano, de! Consejo de S. M. en el supremo de Hacienda, teniente corregidor de esta villa, por ia es cribanía de su número que egerce D. Juan Raya. Ei partido de médico de ia villa de Campo Real, provincia de Madrid, se ha lla vacante: tiene de dotación 600 ducados, los 100 de propios, y los 500 repar tidos en ei vecindario, cobrados por la justicia: el pueblo es saludable, con buenas aguas, y dista cin…</t>
  </si>
  <si>
    <t>…la Cámara Cano, del Consejo de S. M. en el Real y su premo de Hacienda, teniente corregidor, y corregidor interino de esta heroica villa, por la escribanía de su número que egerce D. Juan Raya dentro del término de 30 días. A voluntad de su dueño , y en virtud de providencia del Sr. D. Joaquín Almazan, del Consejo de S. M., teniente corregidor de esta heroica villa , dada por la escribanía del número de D. Cristóbal de Vicuña en 1 2 del corriente,…</t>
  </si>
  <si>
    <t>…mejora acuda ante el Sr. D. León de Ja Cámara Cano, del Consejo de S. M. en el supremo de Hacienda, teniente corre gidor de esta villa , por la escribanía de su número que egerce D. Juan Raya; y es tá señalado para el remate el dia 6 de Mayo próximo á la una en la puerta de la audiencia del mismo señor. D. Mariano Urciaga, oficial de ordenanzas del Rey intruso, salió para Francia desde esta corte en Febrero de 1813, y de criado llevaba á Manuel Pe…</t>
  </si>
  <si>
    <t>…el farol y serenos. Por el juzgado de esta villa y audiencia del Sr. D. Joaquín Almazan, del Con sejo de S. M., teniente corregidor de ella, y escribanía de su número del cargo de D. Juan Raya, pende ia testamentaría formada í virtud del fallecimiento ocurrido bajo cierta disposición de D. Diego Fernandez Lagaron, vecino que fue de esta vi lla, y gefe que fue de cocina de la Exctna. Sra. duquesa de Alba, y viudo de Doña Isidora Aivarez, en la que h…</t>
  </si>
  <si>
    <t>…4582 rs. vn. Quien quisiere hacer postura acuda ante el Sr. D. joaquin Almazan , del Consejo de S. M., teniente corregidor de esta villa, por la escribanía de su número que egerce D. Juan Raya. Se halla vacante el partido de médico de la villa de Loranca de Tajuña, en la Alcarria: su dotación anual son 62) rs. vn. , pagados los 200 ducados de propios, y lo restante de repartimiento entre los vecinos, que son 230, y ademas lo que contribuye el estad…</t>
  </si>
  <si>
    <t>…lebrarse el dia 9 de Setiembre próximo á las ocho en la po sada del Sr. D. Joaquín Almazan, del Consejo de S. M., teniente corregidor de esta villa, ante el escribano de su número D. Juan Raya. Se halla vacante el partido de médico titular de la villa de Escalona de Alberche, provincia de Toledo, y distante ocho leguas de ella y 1 2 ue esta corte*, su dotación son 69 rs., cobrados por meses, 200 rs. para casa, cuatro carros de leña, y dos cabezas e…</t>
  </si>
  <si>
    <t>…era de esta corte, en que tuvo su comercio D. Fran cisco Villar, ha acudido este ante el Sr. D. Joaquín Almazan, teniente corregidor de esta villa, por la escribanía del número de D. Juan Raya, cediendo sus bienes en favor de sus acreedores, entre los que se ha mandado celebrar junta el dia 29 de este mes á las ocho en la posada del mismo señor juez, para que respecto haberse perdido todos los libros de comercio y asientos del D. Francisco Villar,…</t>
  </si>
  <si>
    <t>…Quien quisiere hacer pos tura acuda ante el Sr. D. Joaquín Altnazan, del Consejo de S. M., y teniente pri mero de corregidor de esta villa, por la escribanía del numero que egerce Don Juan Raya. Instituí iones medicae, seu physiologia ef patologiae, ad usum scholae Valentinae: auctore Dr. Andreae Piquerii &amp;c.: tercera edición. Esta obra se divide en nueve tratados, con varias sentencias en cada uno de ellos, siendo completa en su clase como todas la…</t>
  </si>
  <si>
    <t>…re hacer postura acuda ante el Sr. D. Joaquin Aimazan, del Consejo de S. M., y te niente primero de corregidor de esta muy heroica villa , por la escribanía del nú mero que egerce D. Juan Raya; y está señalado para su remate el dia 21 del cor riente en la audiencia de dicho señor i las 12. Se desea saber el paradero de Doña Mariana Sánchez, hija de D. Antonio y de Doña María Magdalena Monteagut, difuntos, que se ausentó de Barcelona el año de 1809…</t>
  </si>
  <si>
    <t>Re, Ignacio García</t>
  </si>
  <si>
    <t>Ignacio García Re</t>
  </si>
  <si>
    <t>1306 rrlldefotiso de la Torre y la Cuadra. = Sr. brigadier D. Ignacio García Re bollo,” 2.0 ,,Excmo. Sr.: Para el superior conocimiento de V. E. le dirijo el parte original que, con fecha 7 del que rige, me ha dado el teniente de dra gones de Sierragorda D. Julián Jubera ^comandante dei destacamento de San Vicente, referente al vigoroso…</t>
  </si>
  <si>
    <t>Rebollar, Antonio XJrueña</t>
  </si>
  <si>
    <t>Antonio XJrueña Rebollar</t>
  </si>
  <si>
    <t>…a de ios derechos del Rey nuestro Señor, á cuyo fin me comunicará V. el nombre de la expresada viuda , remitiéndome los documentos correspon dientes.” Colmenar de Oreja 6 de Mayo. D. Antonio XJrueña Rebollar, maestro de primera educación, aprobado por el Real y supremo Consejo de Castilla, á cuyo cargo se halla la escuela de dicha villa, ansioso de manifestar al público y darle una prueba nada equívoca del zelo que le anima por la instrucción de la juventud, y en…</t>
  </si>
  <si>
    <t>Rebollo, Ignacio García</t>
  </si>
  <si>
    <t>Ignacio García Rebollo</t>
  </si>
  <si>
    <t>…iones. Asi se desvanecen los aereos proyectos de los rebeldes, como es consiguiente á todas las empresas que tienen por fundamento el de lito y el olvido de la religión. Parte del brigadier D. Ignacio García Rebollo. „Excmo. Sr.: Elevo á las superiores manos de V. E. el adjunto parte original, que con fecha 12 de este mes me ha dirigido el teniente coronel gra duado de realistas fieles de artillería D. Juan Francisco de Luengas, coman dante interino de la primera sección…</t>
  </si>
  <si>
    <t>…encarga de cuales quier comisión, y la prudencia y valor con que se maneja. ,,Dios guarde á V. S. muchos años. Casasviejas Diciembre 12 de 1816,= Juan Francisco de Luengas. = Sr. brigadier D. Ignacio García Rebollo.” El Excmo. Sr. virey ha mandado que el mérito que ha contraído el sar gento de Sierragorda Vicente Monroy se tenga presente en su cuerpo para los ascensos. Madrid 4 de Junio. ARTICULO DE OFICIO. Real cédula de S. M. y Sres, del Consejo. D. Fernando vii , por…</t>
  </si>
  <si>
    <t>…os. También ha fallecido el sabio naturalista alernan barón de Jacquin á los 92 años de edad. _ ESPAÑA. México 19 de Marzo. Continuación de los partes de Nueva-España. Oficios del brigadier D. Ignacio García Rebollo. i.° „Excmo. Sr.: Acompaño á V. E. original para su superior conoci miento el parte que, con fecha 5 del corriente, me ha dado el comandante de la segunda sección volante, relativo á la aprehensión del rebelde Josef María Rozas, egecutada en el cerro del Burr…</t>
  </si>
  <si>
    <t>…síasmo por la justa causa , valor y firmeza, aun siendo en tan corto nú mero. ,,Dios guarde á V. S. muchos años. Destacamento de S. Vicente Marzo 7 de 1817 ■ = Julián Jubera. =Sr. brigadier D. Ignacio García Rebollo.5' 3.0 „Excmo. Sr.: Originales paso á las superiores manos de V. E. para su debido conocimiento dos partes que con fecha 8 del corriente me ha diri gido el capitán de dragones de Sierragorda D. Josef Cristóbal Viilaseñor, re lativos á las correrías que este o…</t>
  </si>
  <si>
    <t>…e les distrajo el perseguir á dos correos de los rebeldes ’, que no pu dieron coger. ,,Díos guarde á V. S. muchos años. Cadereita Marzo 9 de 1817.= Manuel de la Llata Saenz. = Sr. brigadier D. Ignacio García Rebollo.” S. Sebastian 10 de Noviembre. Los vecinos de esta célebre ciudad, superiores á las ruinas y desolación á que dejaron reducido su caserío los acontecimientos de la última guerra, luego que terminada esta felizmente volvieron al suave dominio del mejor de los</t>
  </si>
  <si>
    <t>Recio, Francisco de Paula Díaz</t>
  </si>
  <si>
    <t>Francisco de Paula Díaz Recio</t>
  </si>
  <si>
    <t>…para ladeHaro á D.Domingo de S. Martin: para la de la Rambla á D. Diego Crespo de León, alcalde mayor que era de las nuevas poblaciones de Sierramorena: para la de Altnendralejo á D. Francisco de Paula Díaz Recio, corregidor que era dé Estepona: para la de Autol, de nueva creación, á D. Juan Sahagun Vicente: para la de S. Lorenzo de la Parrilla á D. Francisco Casimiro González de Argandoña : par2 la de Vilialpando á D. Ginés Casanova: para la de Is Ve ga de Valcarce á…</t>
  </si>
  <si>
    <t>Recio, Juan</t>
  </si>
  <si>
    <t>Juan Recio</t>
  </si>
  <si>
    <t>…eta sobre su pertenencia, ante el referido señor juez por la citada es cribanía; pues de lo contrario se procederá á lo que haya lugar. Por el presente se cita , llama y emplaza á D. Juan Recio, encargado de cum plir la ultima voluntad de D. Francisco Arana, vecino que fue de esta corte , para que comparezca á usar de las acciones que le competan en el juzgado del Sr. Don Joaquín Almazan, del Consejo de S. M., teniente primero de corregidor de esta…</t>
  </si>
  <si>
    <t>Redondo, Andrés</t>
  </si>
  <si>
    <t>Andrés Redondo</t>
  </si>
  <si>
    <t>…, D. Pedro Gómez, D. Celedonio Casado, D. Vicente Berdion , Don Joa quín Lumeras, D. Tomas Asensio, D. Mateo Rodriguez, D. Valentín Ga veta, D. Pedro Martin, D. Antonio Fernandez, D. Andrés Redondo, Don Federico Movilla, D. Bernardo Huelga, D. Esteban Blanco, D. Miguel Alonrso, D. Cesáreo Viguera, D. Miguel Chana, D. Antonio Castro, D. Toribio González, D. Santiago Alonso, D. Tomas Pardo, D. Ignacio Ojero, Don Fernando Movilla, D. Manuel Gómez, D. Franc…</t>
  </si>
  <si>
    <t>Regas, Antonio</t>
  </si>
  <si>
    <t>Antonio Regas</t>
  </si>
  <si>
    <t>…considerados de la clase militar como tesoreros ma yores de guerra. El Rey nuestro Señor se ha servido admitir con la benignidad que tanto le distingue el homenage que le ha hecho D. Antonio Regas, visitador gene ral de fábricas de esta corte, de la invención de una sembradera , que por su sencillez y poco coste mereció que la Real sociedad de Valladodid la recomen dase como un instrumento capaz de producir incalculables ventajas; como también el de un…</t>
  </si>
  <si>
    <t>Regil, Miteo</t>
  </si>
  <si>
    <t>Miteo Regil</t>
  </si>
  <si>
    <t>…merecieron una completa aprobación de los individuos de la junta y concurrentes los sugetos siguientes: D. Francisco de Villota á los 14 meses de estudio: D. Felipe de la Puente, D. Miteo Regil, D. Jorge de Urioste, D. Juan de Murrieta y D. Ildefonso de Llano á los 20 meses: D. Anto nio de Calera á los 16: D. Juan de Arredondo á los 14 ; y D. Segundo de Olavarriaá los 22 , sin contar otros tres , que también instruidos como estos, yen igual tiempo,…</t>
  </si>
  <si>
    <t>Regó</t>
  </si>
  <si>
    <t>…avios,, fragatas y otras embarcaciones menores: la de tierra se compondrá de algunos escuadrones de caballería , de tres re gimientos de línea y de 2$ voluntarios, mandados por el general Regó, que unidos á las tropas de bahía formarán un egército de 5© hombres. El Rey ha acelerado por sí los preparativos, y estuvo á bordo presenciando el em barque de todo lo perteneciente á la marina, y después pasó revista á las tropas de tierra/’ Habiendo pedido…</t>
  </si>
  <si>
    <t>Reguera, Ramón</t>
  </si>
  <si>
    <t>Ramón Reguera</t>
  </si>
  <si>
    <t>…sible en coger al Cuate, y lo hubiera conseguido si el bosque no lo hubiera ocultado. ,,Dios guarde á V. muchos años. Acambaro Noviembre 4 de 1816.=. Josef María de Sevilla. = Sr. capitán D. Ramón Reguera.” ^.................................. .....................■■■-■— « —-— ■ ■ ■■ ■ ■ — i ■■ mmmmwmmmm——————m Para conocimiento del público se le previene que cualquier reglamento de Hacienda relativo al Real decreto de i.° del corriente que se imprima dentro ó…</t>
  </si>
  <si>
    <t>Reina, Diego de</t>
  </si>
  <si>
    <t>Diego de Reina</t>
  </si>
  <si>
    <t>…de la ciudad de Antequera que resultan de la adjunta nota firmada por el subdelegado de Rentas de ella. Señores Meibilas y hermanos 3® rs.: Diego Morían 10: Doña María Guerrero 6: D. Diego de Reina 10: D. Francisco de Reina 10: Juana Montilla 10: Francisco Moyano 20: Fran cisco de Luque ?o: Miguel Palomo 25: Alonso Atañe 8: María Montilla 8: D. Joaquín de Lara 80: D. Antonio Duran 80: D. Diego de la Huerta 40: Juan Tardan 10: viuda de Hernández é hijos…</t>
  </si>
  <si>
    <t>Reina, Francisco de</t>
  </si>
  <si>
    <t>Francisco de Reina</t>
  </si>
  <si>
    <t>…era que resultan de la adjunta nota firmada por el subdelegado de Rentas de ella. Señores Meibilas y hermanos 3® rs.: Diego Morían 10: Doña María Guerrero 6: D. Diego de Reina 10: D. Francisco de Reina 10: Juana Montilla 10: Francisco Moyano 20: Fran cisco de Luque ?o: Miguel Palomo 25: Alonso Atañe 8: María Montilla 8: D. Joaquín de Lara 80: D. Antonio Duran 80: D. Diego de la Huerta 40: Juan Tardan 10: viuda de Hernández é hijos y compañía 1®: Martínez, s…</t>
  </si>
  <si>
    <t>Reina, María Isabel la</t>
  </si>
  <si>
    <t>María Isabel la Reina</t>
  </si>
  <si>
    <t>…posible á solemnizar con la mayor pompa los matrimonios recientemente contraídos del Rey nuestro Señor y Sermo. Sr. Infante D. Cárlos María con las au gustas Princesas de Portugal Doña María Isabel la Reina nuestra Señora y Doña María Francisca de Asís de Braganza; y acercándose el dia de S. Cárlos, que lo era de su digno hermano' mayor el Sermo. Sr. Infante D. Cárlos , celebró junta general de sus individuos para acordar las medidas que debían tomarse á fin de…</t>
  </si>
  <si>
    <t>Reiner</t>
  </si>
  <si>
    <t>…muy dig na de imitarse en iguales casos. Una muger de edad de 27 años había per dido en su niñez la nariz de resultas de una úlcera cancerosa. Habiéndola vi sitado últimamente el doctor Reiner, la formó una nueva nariz con la piel de la frente desprendida y echada sobre la nariz carcomida. Esta operación se ha hecho con el mas feliz éxito, pues en breves dias se ha establecido la cir culación , y la enferma se halla ya con la nariz artificial egerc…</t>
  </si>
  <si>
    <t>Reinoáo, Félix Josef</t>
  </si>
  <si>
    <t>Félix Josef Reinoáo</t>
  </si>
  <si>
    <t>…la tenido este año la sociedad el placer de ver restablecido en esta ciudad, y á expensas suyas, el importante estudio de las humanidades, bajo la dirección de su dignísimo socio D. Félix Josef Reinoáo , bien conoci do entre los literatos españole^, y con especialidad entre las musas sevillanas. El exquisito análisis y discernimiento con que respondieron D. Josef López Rubio , D. Diego Suarez y D. Manuel Romera á las cuestiones que se les propusieron sobre…</t>
  </si>
  <si>
    <t>Reinoso, Félix Josef</t>
  </si>
  <si>
    <t>Félix Josef Reinoso</t>
  </si>
  <si>
    <t>…mente con los aforismos de medicina de Bocrhaave por Maximiliano Stoll, traducidos del latín por el mismo Lavedan, al mis mo precio. La Inocencia perdida: poema en dos cantos, por D. Félix Josef Reinoso. A causa de los acontecimientos pasados hubieron de oscurecerse los egemplares que res taban de este poema, y se tuvo por acabada la edición; pero habiéndose descubier to cantidad de ellos, se anuncia al público que los hallará en Madrid en la librería de la…</t>
  </si>
  <si>
    <t>Reinoso, Josefa Manuela de</t>
  </si>
  <si>
    <t>Josefa Manuela de Reinoso</t>
  </si>
  <si>
    <t>…D. Antonio García Mayor de Londoíío, y á sus hijos ó descendientes legítimos, llamados á la sucesión del vínculo que fundó D. Vicente García Mayor de Londoño á nombre de su muger Doña Josefa Manuela de Reinoso, para que en el término que tiene señalado el citado alcalde mayor acudan á su juzgado á exponer lo que les convenga á su derecho con la justificación competente de su personalidad, conforme á lo solicita do por el padre general de menores y defensor de ausen…</t>
  </si>
  <si>
    <t>Rendon, Nicolás María</t>
  </si>
  <si>
    <t>Nicolás María Rendon</t>
  </si>
  <si>
    <t>…en aquella ciudad. ESPAÑA. Madrid 16 de Abril. El dia 20 de Febrero último tuvieron la honra de felicitar á S. M. por su augusto enlace, á nombre de la ciudad de Ronda, los Sres. D. Nicolás María Rendon, secretario de la cámara de Guerra, y D. Josef Blanco Gon zález; el primero de los cuales dijo: ,,Señor: La ciudad de Ronda, en Andalucía, cuya serranía tan funesta á los enemigos de V. M. y de la patria en el tiempo que la perfidia y la ambición los hizo pen…</t>
  </si>
  <si>
    <t>Reodon, Francisco</t>
  </si>
  <si>
    <t>Francisco Reodon</t>
  </si>
  <si>
    <t>…ó en el trono de sus mayores, parece ha hallado un principal lugar el que la educación pública se fomente, según que lo dan á entender los repetidos decretos dirigidos á este tin; D. Francisco Reodon, profesor de primeras letras en esta ciudad , se ha persuadido con bastante fun damento ser este uno de los medios que necesita el Monarca para el logro de sus soberanos designios. Con estas ideas , y la de manifestar al magistrado cual es la conducta que obs…</t>
  </si>
  <si>
    <t>Repiso, Amonio Ortiz</t>
  </si>
  <si>
    <t>Amonio Ortiz Repiso</t>
  </si>
  <si>
    <t>…Señor los brillantes y arriesga dos servicios contraídos en favor de la justa causa por D. Fernando Ramírez Luque, cura beneficiado de Lucena, y por los vecinos de la misma ciudad D. Amonio Ortiz Repiso, brigadier de los Reales egercitos; el coronel Don Antonio Polo Valenzuela, y el maestranre de Granada D. Francisco Asís de la Guerra, ha venido en concederles una medalla de distinción, que confor me al diseño presentado y aprobado será de oro, orlada con oc…</t>
  </si>
  <si>
    <t>Requena, Francisca</t>
  </si>
  <si>
    <t>Francisca Requena</t>
  </si>
  <si>
    <t>3&lt;?4 traído en América el teniente general de sus Reales egércitos D. Francisca Requena, del supremo Consejo y Cámara de Indias, ha venido en concederle la gran cruz de la Real orden .americana de Isabel la Católica. La junta suprema de Represalias, por providencia que ha dado en 27 de Febre ro de este año en los autos que siguen en ella los her…</t>
  </si>
  <si>
    <t>Requena, Francisco</t>
  </si>
  <si>
    <t>Francisco Requena</t>
  </si>
  <si>
    <t>…em al Oda-Basi: uno idem al Gaftangi. El dia 25 de Enero tuvieron el honor de cumplimentar a S. M. por su efectuado matrimonio, á nombre de la ciudad de Balaguer, el Excmo e limo. Sr. D. Francisco Requena, caballero gran cruz de la orden de S. Her-</t>
  </si>
  <si>
    <t>Requesens, Francisco</t>
  </si>
  <si>
    <t>Francisco Requesens</t>
  </si>
  <si>
    <t>…estado mayor de la plaza, de Madrid: la de Ibiza al capitán D. Joaquin 'Martínez y Fernandez,, temente del regimiento infantería de Ceuta: la de Cardona, en Cataluña, al tenien te coronel D. Francisco Requesens, capitán agregado al batallón de infante ría ligera de la Albuhera: la primera ayudantía de la plaza de Mahon, en Mallorca, á D. Domingo Lacrampa, segundo ayudante de la misma: la de Sta. Cruz de Tenerife, en Canarias, á D. Santiago Calzadilla, subtenien te a…</t>
  </si>
  <si>
    <t>RErNA, MARrA ISABEL DE BRAGANZA I</t>
  </si>
  <si>
    <t>MARrA ISABEL DE BRAGANZA I RErNA</t>
  </si>
  <si>
    <t>….eal audiencia; bajo apercibimiento de que no haciéndolo no serán oidos ni atendidos para su pago J segun se previene en Iteal órden de 16 de Noviembre {¡!timo. Retrato de la Sra. Doña MARrA ISABEL DE BRAGANZA I RErNA de España, copiado del esculpido por D. Josef Gillés, primer escultor de cámara, dibujado por D. Antonio Guerrero, y grabado por D. Alejandro Blanco, dedicado al REY nuestro St!Ílor, y aprobado por la Real academia de S. Fernando, en cuartilla de marca mayor,…</t>
  </si>
  <si>
    <t>Retamosa, Julián de</t>
  </si>
  <si>
    <t>Julián de Retamosa</t>
  </si>
  <si>
    <t>…e aprecio y gratitud. Madrid 28 de Febrero. El d ia 27 de Enero ultimo tuvieron ia honra de besar la mano á S. M., á nombre de la ciudad de Cartagena de Levante, los Excmos. Sres. D. Julián de Retamosa y D. Nicolás de Estrada, tenientes generales de la Real arma da, y ministros del Supremo Consejo de Almirantazgo; el primero de los cua les dijo á S. M. entre otras cosas lo siguiente: „ Señor: La M. N. y L. ciudad de Cartagena, célebre desde los primeros navegantes fenicios y carta…</t>
  </si>
  <si>
    <t>Retuerta, Pedro Martínez</t>
  </si>
  <si>
    <t>Pedro Martínez Retuerta</t>
  </si>
  <si>
    <t>…de su mañana, citándoles por medio de este pe riódico, mediante á que no se sabe de la existencia de la mayor parte de ellos, siendo los que resultan de autos D. Manuel Royales , D. Pedro Martínez Retuerta, D. Francisco y D. Josef de Arratia, D. Manuel Segundo Martinez, D. Pedro del Rio, la viuda de D. Inocencio Sánchez, D. Manuel López de Rivas, D. Josef An gel de Santelices, Facundo Calleja, Juan Mejorada, Pedro de la Peña, Santiago Vallalado , D. Juan Miguel…</t>
  </si>
  <si>
    <t>Revilla</t>
  </si>
  <si>
    <t>…tilia, guiado de uno de los indultados, con 60 infantes de su cuerpo y 50 dragones urbanos de dicha ciudad. Con esta fuerza y mi com pañía me dirigí á Xalatlaco, mandando ames al teniente Revilla que con Ja suya fuese á encontrar eí otro piquete de infantería que se había extraviado la noche anterior , y con orden de reunírseme en dicho pueblo, lo que ve rificó á la oración , sin mas novedad que habérsele presentado seis rebeldes á mucha distancia, qu…</t>
  </si>
  <si>
    <t>Revilla, Eugenio</t>
  </si>
  <si>
    <t>Eugenio Revilla</t>
  </si>
  <si>
    <t>…11 de la misma con aque lla fuerza , 50 infantes de Fernando vil de línea , aí mando del teniente Don Martin Casas, y 47 dragones de la primera compañía de Fíeles, al cargo de su comandante D. Eugenio Revilla , y atravesando por varios pueblos y mon tes, á pesar de una lluvia de toda la noche,llegué al amanecer al pie del ele vado cerro donde estaba el campo de González. Por la mucha distancia y lluvia se detuvo bastante la infantería que venia á retaguardia, perd…</t>
  </si>
  <si>
    <t>…Irazazabal, de urbanos de Cuernavaca, que me acompañó y mandó la guerrilla con mucho valor; los tenientes de aquel cuerpo D. Joaquín González y Don Martin Casas; el de esta clase D. Eugenio Revilla, comandante de la prime ra compañía de mi regimiento, á quien encargué el mando de varias parti das por su mucha disposición; el alférez de mi compañía D. Francisco Bar bosa, que haciendo de ayudante comunicó mis órdenes, y el teniente gra duado D. Ignacio So…</t>
  </si>
  <si>
    <t>Revilla, Juan Josef</t>
  </si>
  <si>
    <t>Juan Josef Revilla</t>
  </si>
  <si>
    <t>…vmd. muchos años. Tlaxcala Mayo 15 de 1816. = Josef Rubio. = Sr. capitán comandante D. Ramón Quintana.” 2.0 ,,Cumpliendo con la orden de vmd. salí ayer á Jas 12 del dia con el sub teniente D. Juan Josef Revilla y 30 infantes de esta compañía que se halla á mi cargo, y 25 de caballería , mandados por su teniente D. Josef Rubio y al férez D. Agustín Santiestéban á perseguir unos bandidos que se hallaban en el riachuelo impidiendo la entrada de víveres. AI llegar solo…</t>
  </si>
  <si>
    <t>Revilla, Manuel de</t>
  </si>
  <si>
    <t>Manuel de Revilla</t>
  </si>
  <si>
    <t>…l interes que con la mayor prontitud se les ministrase el san to bautismo á 4 criaturas de tres años y una de dos que carecian de este bien , como lo verificó el vicario fij &gt; Br- D. Manuel de Revilla, cediendo la limosna de sus padrinos á las madres de las criaturas. ,,La pérdida del enemigo fue considerable , habiéndose quemado sus la bores de cañas, mucho maíz y panela; tomándoles igualmente un estandarte de nuestra Señora de Guadalupe , y los papeles q…</t>
  </si>
  <si>
    <t>Revuelta, Hermenegildo</t>
  </si>
  <si>
    <t>Hermenegildo Revuelta</t>
  </si>
  <si>
    <t>…el anterior. „ Excmo. Sr.: El dia 8 del corriente vine á esta villa, y en la madruga da del 9, reunido á la división de Zacatecas y á una partida fuerte de caba llería que sacó el capitán D. Hermenegildo Revuelta de esta guarnición de su cargo, nos dirigimos á la hacienda de S. Bartolomé , donde logramos la aprehensión de 5 rebeldes de la gavilla de Rincón. El dia siguiente marcha mos á la hacienda de la Noria con el objeto de extraer de alli porción de maíz que tenia…</t>
  </si>
  <si>
    <t>Rey</t>
  </si>
  <si>
    <t>…e mataron, PORTUGAL. Lisboa 9 de Junio. S. M. ha expedido el siguiente decreto: ,,Yo el Rey: Hago saber á los que este decreto con fuerza de ley vieren que habiendo determinado el Sr. Rey D. Juan iv, de gloriosa memoria , por su carta de donación de 27 de Octubre de 1645 tlue l°s Príncipes primogé nitos de la corona de Portugal tuviesen el título de Príncipes del Brasil para poseerlo en título solamente, y llamarse de allí adelante Príncipes del Brasi…</t>
  </si>
  <si>
    <t>…iptores á la Historia general de España del P. Juan de Mariana, Lus trada con notas históricas y críticas, y tablas cronológicas desde los tiempos mas antiguos hasta la muerte del Sr. Rey D. Carlos irt, por el Dr. D. Josef Sibau y B’anco, canónigo de S. Isidro, acudirán á recoger el tomo 2.0, y pagar el 3.0, que etrá en prensa, á la librería de Quirós, calle de Atocha, frente á la casa de los cinco Gremios. Instrucciones económicas y políticas dadas por…</t>
  </si>
  <si>
    <t>Rey, Josef</t>
  </si>
  <si>
    <t>Josef Rey</t>
  </si>
  <si>
    <t>…a ciudad de Cádiz, que falleció en el castillo de Sta. Catalina de aquella plaza en 1809, sobre que se les entreguen los bienes secuestrados á di cho D. Juan, ha mandado se cite á D. Josef Rey, hijo de aquel, ó cualquiera otro que sea, ó se considere interesado á Jos referidos bienes, para que dentro del tér mino de un mes comparezcan en dicha suprema junta, y por la escribanía de cámara de la misma, que está á cargo de D. Segundo García, á exponer…</t>
  </si>
  <si>
    <t>Rey, Juan Bautista</t>
  </si>
  <si>
    <t>Juan Bautista Rey</t>
  </si>
  <si>
    <t>…orden .americana de Isabel la Católica. La junta suprema de Represalias, por providencia que ha dado en 27 de Febre ro de este año en los autos que siguen en ella los herederos de D. Juan Bautista Rey, de nación francés, natural que fue de Lassavbe en el departamento de los bajos Pi rineos, y vecino de la ciudad de Cádiz, que falleció en el castillo de Sta. Catalina de aquella plaza en 1809, sobre que se les entreguen los bienes secuestrados á di cho D. Ju…</t>
  </si>
  <si>
    <t>Rey, Manuel</t>
  </si>
  <si>
    <t>Manuel Rey</t>
  </si>
  <si>
    <t>…a tenencia de Rey de la plaza de Peñíscola al teniente coronel D. Sebastian Angaita, capitán agregado al regimiento de infantería de Lorena: la primera ayudantía de la de Lérida á D. Manuel Rey, teniente del mismo regimiento de Lorena: la segunda de la de Mahon al capitán D. Juan Bautista Berthel, ayudante tercero de la misma: la de la de Seu de Urgei al subteniente D. Antonio Martos, sargento primero del regimiento de infantería de América; y la ca…</t>
  </si>
  <si>
    <t>Rey, Miguel</t>
  </si>
  <si>
    <t>Miguel Rey</t>
  </si>
  <si>
    <t>…umnos de la escuela de dibujo, que sostiene en esta capital la piedad del limo. Sr. director, y se dieron lazos á otros, tres para animar sus adelantamientos. De los discípulos de D. Miguel Rey, maes tro de latinidad en el convento de S. Agustín de la villa de Huelma, fue ron premiados algunos con iguales medallas de plata. También se distribu yeron medallas en las escuelas de niñas á seis de ellas por sus adelantamien tos en leer, en la doctrina cr…</t>
  </si>
  <si>
    <t>Rey, Vicente</t>
  </si>
  <si>
    <t>Vicente Rey</t>
  </si>
  <si>
    <t>…tor D. Cayetano Fernandez Villamil. Fueron examinados en aritmética Don Felipe Martínez , D. Antonio Ramón Zarneza, D. Joaquín Clavareza, Don Manuel María Ribero, D. Manuel Diaz, D. Vicente Rey, D. Anronio de Prado, D. Manuel Rodríguez Almeida, D. Fermín del Pedregal y D. Ra món Casal. En álgebra D. Josef Pujadas y D. Fermín Galccran. En geometría el citado Martínez , D. Josef María Loureiro, D. Manuel María Vicario , Don Cosme Arias, D. Josef Alons…</t>
  </si>
  <si>
    <t>Reyes, Andrés</t>
  </si>
  <si>
    <t>Andrés Reyes</t>
  </si>
  <si>
    <t>…ería de Asturias: la del de S. Felices, en Castilla la Vieja, á D. Silverio Castro, sargento primero de Reales guardias de infantería Española: la segunda de la plaza de Santoña á D. Andrés Reyes, subteniente del regimiento de Cantabria; y la capitanía de llaves de la de Palma en Ma llorca al teniente D. Carlos Losé, subteniente del regimiento de infantería de Valencia. También se ha servido S. M. conceder en América la tenencia de Rey de la plaza de…</t>
  </si>
  <si>
    <t>Ribera, Juan de</t>
  </si>
  <si>
    <t>Juan de Ribera</t>
  </si>
  <si>
    <t>…s librerías de esta corte, y en el almacén de la compañía, calle de Pre ciados. Reglas para la inteligencia de la sagrada escritura, obra de Mr. Juan Josef Duguet, y traducida por D. Juan de Ribera: 2, tomos en 12.0 Se-hallarán en la libre ría de Hurtado, calle de las Carretas, y en el puesto de Sánchez, calle de Atocha. Ordenanzas de la sociedad de agricultura creada en la villa de Pareja y sus al deas el año próximo pasado de 1816, aprobadas por el Re…</t>
  </si>
  <si>
    <t>Ribera, Manuel</t>
  </si>
  <si>
    <t>Manuel Ribera</t>
  </si>
  <si>
    <t>…olas en el pecho de los si guientes beneméritos: D. Joaquín Cañedo, D. Bernardo García, D. Bernar do Cadenas, D. Agustín Bermejo, D. Tomas Perez, D. Blas Cadenas, Don Juan García, D. Manuel Ribera, D. Máximo y D. Joaquín Vargas, Don Felipe Crespo, D. Francisco Canillas, D. Pedro Miguel, D. Genaro Sal gado, D. Cándido de la Fuente , D. Josef García Vázquez , D. Aquilino Lu nar, D. Pedro Gómez, D. Celedonio Casado, D. Vicente Berdion , Don Joa quín Lumer…</t>
  </si>
  <si>
    <t>Ribera, Mariano</t>
  </si>
  <si>
    <t>Mariano Ribera</t>
  </si>
  <si>
    <t>…or distar cuatro leguas de este punto. ,,En la noche del propio dia con los oficiales de este cuerpo capitanes D. Josef Antonio de Arcega, D. Francisco Gea , D. Juan Cruz de Ansa, teniente D. Mariano Ribera , y subtenientes D. Francisco de Landa , D.Josef Manuel Mateos y D. Juan de Ansa, salí con 106 infantes y 27 caballos er&gt; busca de la chusma y de cualesquiera otra que pudiera auxiliarlos. Subí á los llanos del Mogote, recorrí el parage que nombran la Cienegu…</t>
  </si>
  <si>
    <t>Ribera, Ramón Rodríguez de</t>
  </si>
  <si>
    <t>Ramón Rodríguez de Ribera</t>
  </si>
  <si>
    <t>…nte ligencia y efectos expresados; y del recibo de esta me dará aviso para tras ladarlo á su noticia. Madrid 21 de Agosto de 1817. El Rey nuestro Señor ha tenido á bien conceder á D. Ramón Rodríguez de Ribera su Real permiso para poder usar de la condecoración de la flor de Lis con que S. M. Cristianísima se ha dignado honrarle. Asimismo ha concedido S. M. igual permiso á D. Joaquín Orlando pa ra poder usar de igual distintivo con que le ha condecorado S. M. Cris…</t>
  </si>
  <si>
    <t>Ribero, Felipe</t>
  </si>
  <si>
    <t>Felipe Ribero</t>
  </si>
  <si>
    <t>1361</t>
  </si>
  <si>
    <t>…buco. A cosa de las 7 de la noche de este dia dieron noticia á la Hera que Carri llo con 30 montados andaba por el mismo parage, para lo que mandó al ayudante del centro, teniente coronel D. Felipe Ribero, qu,e fuese con 100 montados á reconocer las inmediaciones. En efecto habiendo visto Ribero mu chas fogatas, que juzgó fuesen de Prudencio, se dirigió contra él, y en bre ve rato'Jogró envolver á los 150 ó 200 hombres que iban de vanguardia , y apoderarse de…</t>
  </si>
  <si>
    <t>Ribero, Manuel María</t>
  </si>
  <si>
    <t>Manuel María Ribero</t>
  </si>
  <si>
    <t>…objeto, que leyó el primer maestro direc tor D. Cayetano Fernandez Villamil. Fueron examinados en aritmética Don Felipe Martínez , D. Antonio Ramón Zarneza, D. Joaquín Clavareza, Don Manuel María Ribero, D. Manuel Diaz, D. Vicente Rey, D. Anronio de Prado, D. Manuel Rodríguez Almeida, D. Fermín del Pedregal y D. Ra món Casal. En álgebra D. Josef Pujadas y D. Fermín Galccran. En geometría el citado Martínez , D. Josef María Loureiro, D. Manuel María Vicario ,…</t>
  </si>
  <si>
    <t>Rico, Francisco Sánchez</t>
  </si>
  <si>
    <t>Francisco Sánchez Rico</t>
  </si>
  <si>
    <t>…con la retórica y poética. Después de lo cual D. Luis García Vidal pronunció un breve pero elegante panegírico de Antonio de Lebrija, con !o que se dio fin al acto. El presbítero D. Francisco Sánchez Rico, hermano mayor de la Real, an tigua é ilustre hermandad de los Santos de esta villa, patrono de la cátedra, que presidió el acto, repartió alli mismo los premios que habían adjudicado en los escrutinios los hermanos censores, curadores y secretario, auxiliado…</t>
  </si>
  <si>
    <t>Ricote, Agustín</t>
  </si>
  <si>
    <t>Agustín Ricote</t>
  </si>
  <si>
    <t>…ad posible. Por providencia del Real y supremo Consejo de Castilla, dada en 39 de Abril en los autos que se siguen por la escribanía de cámara del careo de D. Jcsef de Ayala entre D. Agustín Ricote y sucesivamente su hija Doña María con el mar ques de Corvera , vecino de Granada, sobre redención y pago de réditos de unes censos impuestos en una casa sita en la calle de Embajadores, titulada del Cura, se cita y emplaza £D. Antonio Ricote para que en el t…</t>
  </si>
  <si>
    <t>Ricote, Antonio</t>
  </si>
  <si>
    <t>Antonio Ricote</t>
  </si>
  <si>
    <t>…ques de Corvera , vecino de Granada, sobre redención y pago de réditos de unes censos impuestos en una casa sita en la calle de Embajadores, titulada del Cura, se cita y emplaza £D. Antonio Ricote para que en el término de 30 dias, contados</t>
  </si>
  <si>
    <t>Rie, Bernardo</t>
  </si>
  <si>
    <t>Bernardo Rie</t>
  </si>
  <si>
    <t>…400, con una casa para ganado de la bor, ¡Jamada ia Fimanera vieja, todo dentro de las tapias de la Real casa de campo, que se arrienda á virtud de Real orden comunicada al limo. Sr. D. Bernardo Rie ga „ d;l Consejo y C.mira de S. M. en el supremo de Castilla, por tiempo y espacío de cuatro anos, que darán principio en Sta. María de Agosto del presente, y concluirán en ígu¿i día del año que viene de 821, sin que hasta la presente se haya presentado plieg…</t>
  </si>
  <si>
    <t>Riega</t>
  </si>
  <si>
    <t>…$ del corriente; en inteligencia que pasados se procederá á su remate, para el cual se señala el martes 8 de Ju io próximo á las cinco de su tarde en la habitación de di cho limo. Sr. Riega, caile del Desengaño, casa inmediata al convento de S. Basilio, cuarto segundo, el que se celebrará con la formalidad debida bajo las condiciones que están establecidas, y otras cualesquiera que se propongan, siendo arregladas. Por último y perentorio término…</t>
  </si>
  <si>
    <t>Riega, Bernardo</t>
  </si>
  <si>
    <t>Bernardo Riega</t>
  </si>
  <si>
    <t>…400, con una casa para ganado de labor, lla mada la Faisanera vieja, todo dentro de las tapias de la Real casa de Campo , y se arrienda á virtud de Real orden comunicada al limo. Sr. D. Bernardo Riega , del Consejo y Cámara de S. M. en el supremo de Castilla, por tiempo y espacio de cua tro años, que darán principio en Santa María de Agosto del presente, y concluirán en igual dia del año que viene de 1821, cuyo terreno ha de servir para pasto y la bor, acu…</t>
  </si>
  <si>
    <t>…Dada en Palacio á io de Julio de 1817. = YO EL REY. =Yo D. Juan Ignacio de Ayestarán, Secretario del Rey nuestro Señor,la hice escribir por su mandado. = El duque del Infantado. = D. Bernardo Riega. =D. Antonio Alvarez de Contreras. = D. Juan Antonio González CarriIlo. = D. Felipe de Sobrado. = Registrada, Aquilino Escudero. = Teniente de Canciller mayor, Aquilino Escudero. En atención á los distinguidos servicios y mérito del Excmo. Sr. D. Juan Francis…</t>
  </si>
  <si>
    <t>Riega, Bernardo de</t>
  </si>
  <si>
    <t>Bernardo de Riega</t>
  </si>
  <si>
    <t>…a; he venido en resolver que las causas y sentencias remitidas á consulta por mi comisionado D. Pas cual Quilez y Talón contra varios vecinos de Caspe sean examinadas en unión por D. Bernardo de Riega, de mi consejo y cámara de Castilla; el conde de Torre-Muzquiz, de mi consejo y cámara de Indias, y D. Jaime Aívarez de Mendieta, de mi consejo de Hacienda; quienes en su consecuen cia, y teniendo á la vista el parecer adjunto, me consultarán en el término ma…</t>
  </si>
  <si>
    <t>Riesco, Francisco María</t>
  </si>
  <si>
    <t>Francisco María Riesco</t>
  </si>
  <si>
    <t>…ad. Madrid 8 de Enero. El dia 12 de Diciembre último tuvieron el honor de felicitar á SS. MM., á nombre de la villa de Olivenza, D. Pedro Josef Rovira, sil alcalde mayor, y el Dr. D. Francisco María Riesco , inquisidor de corte; y el primero ha bló á S. M. en los términos siguientes: „ Señor: Si todos los pueblos de la monarquía que felizmente rige V. M. cumplen con su deber rindiendo homenages de amor y respeto á V. M. fe licitándole por su augusto enlace, nin…</t>
  </si>
  <si>
    <t>Rígas, Antonio</t>
  </si>
  <si>
    <t>Antonio Rígas</t>
  </si>
  <si>
    <t>…8 de Marzo último: sigue abierta la suscripción. Informe descriptivo y diseño de una sembradera, inventada y presentada á la Real sociedad económica de Valladolid por su individuo D. Antonio Rígas, visi tador general de las fábricas de Madrid y sus cercanías, miembro de la Real acade mia de Ciencias naturales y artes de la ciudad de Barcelona, y de mérito de varias sociedades económicas del reino : publícala en beneficio de la agricultura la misma Real…</t>
  </si>
  <si>
    <t>Ríijula, Juan Félix de</t>
  </si>
  <si>
    <t>Juan Félix de Ríijula</t>
  </si>
  <si>
    <t>…cha testamentaría, señalada para el miér coles 17 del corriente en la posada de dicho señor y hora de las tres de su tarde. En 2 a de Octubre de 1802 se despachó en esta corte por D. Juan Félix de Ríijula, cronista y rey de armas de S. M. que file, un despacho histórico, genealó gico y heráldico, y certificación de armas de los apellidos de López, Gómez, Ruizo, Morano, Perez , Dominguez , López y Alvarez, perteneciente á D. Antonio López Gómez, natural de Cádi…</t>
  </si>
  <si>
    <t>Rin, Mauricio Justo del</t>
  </si>
  <si>
    <t>Mauricio Justo del Rin</t>
  </si>
  <si>
    <t>…te, para que en él comparezcan á legitimar sus créditos al juzgado de provincia del Sr. D. Vicente García Cavero, del Consejo de S. M., su alcalde de casa y corte, y escribanía de D. Mauricio Justo del Rin cón; apercibidos que de no hacerlo quedarán excluidos, y se procederá á lo demas que haya lugar en derecho. ~ En dicha escribanía de provincia se dará razón de dos casas nuevas que se venden en esta corte á voluntad de su dueño , sin otra carga que la del far…</t>
  </si>
  <si>
    <t>Rincón, Josef</t>
  </si>
  <si>
    <t>Josef Rincón</t>
  </si>
  <si>
    <t>…á que obligaban las dificultades que la estación de aguas presentaba en los tránsitos; asi es que habiéndolas superado con el tino que le es genial el benemérito jaíapeño teniente coronel D. Josef Rincón , cuya división, con la tropa que saco de esta plaza y la que tomó de la Antigua, constaba de un cañón de á 4 y 320 hombres, 2 artilleros y 21 j infantes, 122 del fijo de Veracruz, 58 de la partida de España, 18 de Castilla de Campeche, 19 de milicias de la c…</t>
  </si>
  <si>
    <t>500</t>
  </si>
  <si>
    <t>…al erario, erigida en esta plaza de orden del comandante general de ella, y á propuesta del apuntamiento y consula do de la misma, luego que se recibieron los oficios del teniente coronel Don Josef Rincón, en que daba parte de la gloriosa toma de la cala de Boquilla de la Piedra, verificada el dia 24 del mes próximo pasado, penetrada de lo mucho que este interesante suceso podía influir en la pacificación del país, viendo por él la sabiduría y valor de las tro…</t>
  </si>
  <si>
    <t>Rincón, Mauricio Justo del</t>
  </si>
  <si>
    <t>Mauricio Justo del Rincón</t>
  </si>
  <si>
    <t>…de esta corte, que falleció en la mañana del 14 de Noviem bre de 1816, para que en término de 20 dias, que por primero se les señala, com parezcan en la escribanía de provincia de D. Mauricio Justo del Rincón, por sí ó por procurador del juzgado con poder bastante y documentos que acrediten el de recho que les asista á los bienes que dejó y rentas de las capellanías que poseía; que si lo hicieren se Ies oirá y administrará justicia, y en otro caso les parará el pe…</t>
  </si>
  <si>
    <t>…corriente en el juzgado que despacha el Sr. D. Vicente García Cavero, del Consejo de S. M., su alcalde de casa y corte, por la escribanía de provincia y comisiones de la misma de D. Mauricio Justo del Rincón.—En la misma escribanía existen los títulos de pertenencia de una casa sita en uno de los mejores parages, y con la inmediación á la plaza Mayor, reedificada últimamente, sin mas carga que la de un farol y serenos, y cuyo valor no llega á 7© duros. Quien quis…</t>
  </si>
  <si>
    <t>…ro de 20 dias á deducir el que les asista al juzgado del Sr. D. Vicente García Cavero, del Consejo de S. M., su alcalde de casa y cor te, y escribanía de provincia y comisiones de D. Mauricio Justo del Rincón, que si asi lo hicieren se les oirá y administrará justicia, y en otro caso se aplicarán di chos bienes conforme á lo determinado en Reales órdenes, y les parará el perjuicio que haya lugar. Contienda de las letras y las armas, en que se disputan la preferenc…</t>
  </si>
  <si>
    <t>…iere hacer postura y enterarse de Iars condiciones en virtud de las que ha de recaer el nombramiento, acuda al juzgado del señor juez interventor por la escribanía de provincia de D. Mauricio Justo del Rincón, donde se les manifestará, y admitirán sus posturas siendo arregladas. En junta de acreedores al concurso de D. Francisco Santana, celebrada el dia 17 del pasado ante el Sr. D. León de la Cámara Cano , del Consejo de S. M. en el su premo de Hacienda, teniente…</t>
  </si>
  <si>
    <t>Rincónj, Josef Antonio</t>
  </si>
  <si>
    <t>Josef Antonio Rincónj</t>
  </si>
  <si>
    <t>…ciones , víveres y demas efectos que en la acción del 24 del corriente se les quitó á los rebeldes de Bo quilla de Piedra por la expresada división del mando del teniente co ronel D. Josef Antonio Rincónj d saber: Pertrechos de guerra. Cañones en batería. De á 12 uno. De á 6 nueve. De á 4 dos. De á 1 uno. Total 13. Otras piezas de artillería. Obús de á 8 en el espaldón que mira al mar uno. En el rio desmontado de á 6 dos. En el ex terior del muro uno. Esmeril…</t>
  </si>
  <si>
    <t>Rio, Ildefonso Ruiz del</t>
  </si>
  <si>
    <t>Ildefonso Ruiz del Rio</t>
  </si>
  <si>
    <t>…valcaba. Cruces de Caballeros A los Sres. D. Marcos Francisco Rivas, presbítero, domiciliado en Cara cas ; D. Nicolás Blanco; D. Miguel García Carrasquedo; D. Francisco Es cudero; D. Ildefonso Ruiz del Rio; D. Luis Gargollo; D. Josef López del Diestro ; D. Andrés Marzan; D. Juan Miguel de Lostra; D. Antonio Fajar do; D. Tomas Urrutia; D. Josef Xavier de Zuluaga y D. Josef de Veamurguía, individuos de la junta de reemplazos establecida en Cádiz; D. Josef Miguel…</t>
  </si>
  <si>
    <t>Rio, Josef María del</t>
  </si>
  <si>
    <t>Josef María del Rio</t>
  </si>
  <si>
    <t>…. en la librería de Bar co , carrera de S. Gerónimo, y en Valencia en la de los Sres. Domingo y Mompie. Elogio del Sr. D. Fernando vn, el amado, Rey de España y de sus Indias, por D. Josef María del Rio, oficial de la secretaría de Estado, y del despacho de Ha cienda de Indias. Se hallará en la librería de Dávila, calle de las Carretas, y en Se villa en la de las herederas de Padrino. Estampa del patriarca S. Josef, dibujada y grabada del célebre cuadro de M…</t>
  </si>
  <si>
    <t>Rio, Pedro del</t>
  </si>
  <si>
    <t>Pedro del Rio</t>
  </si>
  <si>
    <t>…tencia de la mayor parte de ellos, siendo los que resultan de autos D. Manuel Royales , D. Pedro Martínez Retuerta, D. Francisco y D. Josef de Arratia, D. Manuel Segundo Martinez, D. Pedro del Rio, la viuda de D. Inocencio Sánchez, D. Manuel López de Rivas, D. Josef An gel de Santelices, Facundo Calleja, Juan Mejorada, Pedro de la Peña, Santiago Vallalado , D. Juan Miguel Alcalá, D. Francisco García de la Penilla, Juan Fer nandez, Baltasar Puebla , D.…</t>
  </si>
  <si>
    <t>Riscos, Josef Sánchez</t>
  </si>
  <si>
    <t>Josef Sánchez Riscos</t>
  </si>
  <si>
    <t>…primero de corregidor de esta villa, ha señalado para la celebración de una junta de acreedores de D, Pedro García Olalla y su muger Doña Lucía López a los de la testamen taría de D. Josef Sánchez Riscos el dia 17 de Mayo próximo á las ocho en punto de su mañana en la posada de S. S., lo que se hace saber para su concurrencia; en tendidos que de no hacerlo les parará el perjuicio que haya lugar. Quien quisiere adquirir el secreto de la fábrica de hules de sed…</t>
  </si>
  <si>
    <t>Rita</t>
  </si>
  <si>
    <t>…e el año de 1803, que solo se ha sabido por varios sugetos fue asesinada por los franceses en la retira da de Ocaña; y en razón á tener bienes en dicha ciudad de Cádiz la referida Doña Rita, y haber autos pendientes sobre su adjudicación á legítimo heredero, se pre sentará en el término de 40 dias en la expresada ciudad. Anales eclesiásticos y seculares de la ciudad de Sevilla, por D. Diego Ortiz de Zúñiga, ilustrados por D. Antonio Espinosa: ci…</t>
  </si>
  <si>
    <t>Rivacoba, Francisco Antonio de</t>
  </si>
  <si>
    <t>Francisco Antonio de Rivacoba</t>
  </si>
  <si>
    <t>…del Crédito publico, cuyos nombres de los últimos tenedores, números, valor y creaciones son á saber: De 300 pesos de Enero de 1808, núms. 85380, 85834,96511 ,96879,96926 y 97023 Don Francisco Antonio de Rivacoba : 97319 D. Cayetano Luis Maeso : 98108 y 98291 D. Antonio de la Torre : 98340 D. Cayetano Luis Maeso: 98403 Com pañía de la Buena Fe: 111630 Doña María del Carmen Corral. — De 150 pesos de Enero de i8c8: 227200 D. Francisco Josef Paron: 239881 Don Francisco A…</t>
  </si>
  <si>
    <t>Rivaherrera</t>
  </si>
  <si>
    <t>…nzález y Casas, marcha sen con las cargas por la izquierda por ser mas corto el camino, aunque mas malo, á dicha hacienda; y yo con la caballería en dos trozos al mando el uno del capitán Rivaherrera, me dirigí por la derecha. Llegué antes que la</t>
  </si>
  <si>
    <t>Rivaherrera, Joaquín</t>
  </si>
  <si>
    <t>Joaquín Rivaherrera</t>
  </si>
  <si>
    <t>…de cebada, que mandé conducir á Cuaximalpa por los indios de Coatepec. Concluido volví á tomar mis caballos, y á las 12 de la misma mañana se me reunió el capi tán de Fernando vil D. Joaquín Rivaherrera, que salió de Toluca por com binación y citación tilia, guiado de uno de los indultados, con 60 infantes de su cuerpo y 50 dragones urbanos de dicha ciudad. Con esta fuerza y mi com pañía me dirigí á Xalatlaco, mandando ames al teniente Revilla que con Ja suy…</t>
  </si>
  <si>
    <t>…penosa jornada y gloriosa acción han llenado sus deberes á mi satisfacción , y son por tanto dignos de mucha recomendación; pero se distinguieron muy particularmente los capitanes D. Joaquín Rivaherrera ,de Fernando vil, y D. Rafael de Irazazabal, de urbanos de Cuernavaca, que me acompañó y mandó la guerrilla con mucho valor; los tenientes de aquel cuerpo D. Joaquín González y Don Martin Casas; el de esta clase D. Eugenio Revilla, comandante de la prime ra c…</t>
  </si>
  <si>
    <t>Rivas</t>
  </si>
  <si>
    <t>…Chinchiri, adonde pasé, dando á la tropa el descanso de tres horas; pero como estos malvados hubiesen logrado oportuno aviso, se movieron á media no che. El 16, reuniéndome con el capitán Rivas en dicha hacienda de Chin chiri, fuimos á buscarlos por dos partes; y habiendo llegado al lugar nom brado Tuiruni, se avistaron á la banda del cerro que llaman Anjoiluni. De allí nos hicieron fuego á tiempo que bajamos al rio, y al subir la cuesta re sistiero…</t>
  </si>
  <si>
    <t>…demas gente y cargas de municiones, y que en seguida los persiguiesen, como asi lo efec tuaron sin embargo del fuego activo con que se defendían, llegando á herir á un soldado del capitán Rivas y el caballo en que estaba montado dicho Vargas. Y como cerraba ya la noche mandé reunir la gente, y vine á acam par á la hacienda de Paragani, en cuyo caserío me quedé el 26 oculto y de emboscada con el teniente Carrasco, Leige, Vargas y 40 hombres, haciendo…</t>
  </si>
  <si>
    <t>Rivas, Anselmo</t>
  </si>
  <si>
    <t>Anselmo Rivas</t>
  </si>
  <si>
    <t>…dente del supremo Consejo de Indias; duque de San Fernando, presidente del Consejo de las Ordenes; duque de Vera gua, presidente del supremo Consejo de Hacienda; duque dei Parque; Don Anselmo Rivas, y D. Guilíeimo Hualde. Honores en dicho Consejo Al Sr. D. Tomas Aparicio Santin , colector general de Espolies, Vacantes y Fondo pió beneficia], y superintendente general de la casa de Misericordia y Expósitos del reino, y al Sr. marques del Vil’el, conde de…</t>
  </si>
  <si>
    <t>Rivas, Francisco de</t>
  </si>
  <si>
    <t>Francisco de Rivas</t>
  </si>
  <si>
    <t>…2 de Febrero de 1817. = Juan Lozano de Torres. =Sr. Presidente del Consejo.” El Rey nuestro Señor se ha servido promover al actual alcalde mayor de la villa del Corral de Almagueí D. Francisco de Rivas á igual empleo de la de Totana y Aledo, vacante por fallecimiento de D. Ignacio María de Funes y Ulloa. En la villa de Callosa de Segura, reino 'de Valencia, se halla vacante la preceptoría de gramática: tiene de dotación 300 ducados anuales, que por ahora ce…</t>
  </si>
  <si>
    <t>…e mayor del gobierno de la villa de Alcántara, vacante por haber cumplido su sexenio D. Cristóbal González Doñelfb; y para la del Corra! de A ¡maguer, que lo está por promoción de D. Francisco de Rivas á la de Torana y Ale do, á D. Luis Josef de Valdivia y Paniagua; dignándose también S. M., á consulta del propio tribunal, conceder la permuta que solicitaron de sus va ras el alcalde mayor de la villa de Los Santos D. Francisco Xavier López Duque, y el de la…</t>
  </si>
  <si>
    <t>Rivas, Francisco Esteban</t>
  </si>
  <si>
    <t>Francisco Esteban Rivas</t>
  </si>
  <si>
    <t>…Union, por la caballería que se ha indicado á las órdenes de su bizarro gefe Navas, y por un trozo del batallón de desmontados. El coman dante del fuerte Pedro María Freytes, y el intendente Francisco Esteban Rivas, con otros prisioneros, han librado la vida, aunque heridos, y marchan á disposición del señor capitán general, para que respondan de su conducta. La torna de este recinto fortificado , antemural de los rebeldes, con infinitos pertrechos de guerra, dos bander…</t>
  </si>
  <si>
    <t>Rivas, Gerónimo</t>
  </si>
  <si>
    <t>Gerónimo Rivas</t>
  </si>
  <si>
    <t>…los tres primeros premios de 5 5 pesos cada uno á D. Ruperto Sacristán, Don Francisco Sola y D. Nicasio Martin; y los tres segundos de 35 pesos á Don Francisco Ceferino de Ulacia, D. Gerónimo Rivas y D. Manuel Burrieza. Y teniendo en consideración que D. Antonio Salcedo, D- Juan Guerra y Don Pedro González Perez han igualado en el mérito de la oposición á los últi mos premiados, ha agraciado á cada uno de dichos alumnos con una caja de instrumentos de disección, y una obra…</t>
  </si>
  <si>
    <t>Rivas, Josef</t>
  </si>
  <si>
    <t>Josef Rivas</t>
  </si>
  <si>
    <t>…ó segunda parte á su medici na doméstica: un tomo en 8.° mayor. Se hallará en la librería de Castillo. Antorcha de colmeneros, ó tratado físico económico de abejas, compuesto por D. Josef Rivas, teniente del Real cuerpo de artillería: un tomo en 8.° Se hallará en la librería de Castillo. Nuevo método de operar en la hernia crural, por D. Antonio de Gimbernat, á 8 rs__ Tratado de las suturas para la mejor curación de las heridas y de su abuso, por el…</t>
  </si>
  <si>
    <t>Rivas, Juan Hernando y IX Gaspar de</t>
  </si>
  <si>
    <t>Juan Hernando y IX Gaspar de Rivas</t>
  </si>
  <si>
    <t>…iz fino. Fueron los premiados como extra ordinario D. Juan Manuel Mico Cagigas ; en primera clase IX Ramón de 1&amp; Carrera Estrada y D. Claudio Ruiz de Eguilaz y Peredo ; en segunda Don Juan Hernando y IX Gaspar de Rivas , yen tercera D. Rafael García y D. Domingo Rogi; pues otros que habían acreditado su aplicación , se les es timuló á continuar en ella, á fin de merecer en el-siguiente año ser premiados.» León 12 de Junio * Bien persuadida la Real sociedad de esta capital d…</t>
  </si>
  <si>
    <t>Rivas, Manuel Antonio del Campo y</t>
  </si>
  <si>
    <t>Manuel Antonio del Campo y Rivas</t>
  </si>
  <si>
    <t>…e Nobles de Madrid! en ei año de 1807: un tomo en 8.° Se hallará en la librería de Castillo. Historia literaria de la edad media, traducida del francés, y aumentada con no tas por D. Manuel Antonio del Campo y Rivas; un tomo en 8.° marquilla, impre so en 1791. Véndese á 11 rs. en papel en el almacén de la imprenta Real. EN LA IMPRENTA REAL.</t>
  </si>
  <si>
    <t>…ntribuciones, préstamos &amp;c. Véndese á 12 cuartos en el despacho de la imprenta Real. Crítica de París, y aventuras del infeliz Damon en la misma capital, traducida del francés por D. Manuel Antonio del Campo y Rivas: un tomito en 8.°, impreso en papel fino en 1788. Véndese á 4 rs. en el almacén de la imprenta Real. Nota. En la gaceta núm. 120, pág. 1073 , lín. antepenúltima, dice hombre la brador, léase honrado labrador; pág. siguiente, lín. 3, dice siente, léase sienten…</t>
  </si>
  <si>
    <t>Rivas, Manuel López de</t>
  </si>
  <si>
    <t>Manuel López de Rivas</t>
  </si>
  <si>
    <t>…Olivo bajo, núm. 11, cuar to bajo. En virtud de providencia del Sr. D. Martin de Gaztanaga, del Consejo de S. M., su alcalde de casa y corte, refrendada del escribano de provincia D. Manuel López de Rivas, se ha mandado volver á sacar á pública subasta una casa sita en el lugar de Carabanchel de abajo, y su calle llamada Empedrada, comprensiva de 4889 pies cuadrados, y retasada últimamente en 18208 rs. vn., y se ha señalado para su re mate el dia 22 del corrie…</t>
  </si>
  <si>
    <t>…muchos años. Madrid io de Mayo de 1817. En virtud de providencia de 20 del presente del Sr. D. Martin de Gaztañaga, del Consejo de S. M., su alcalde de cas3 y corte, refrendada de D. Manuel López de Rivas, escribano de provincia y comisiones de la misma, y del juzgado de co mandancia de los Reales cuerpos de Artillería é Ingenieros de esta plaza, se cita, llama y emplaza á D. Manuel Verges, á cuyo favor resultan endosados dos vales Reales de 600 pesos de la cr…</t>
  </si>
  <si>
    <t>…. D. Manuel Josef de Arbizu, del Consejo de S. M. , su alcalde de casa y corte, que en ausencia de su compañero el Sr. D. Mar tin de Gaztanaga despacha su audiencia, refrendada de D. Manuel López de Rivas, escribano de provincia y comisiones, y del juzgado de comandancia de los Reales cuerpos de Artillería é Ingenieros de esta plaza, se ha mandado sacar á pública sub asta por término de 1 5 dias mas una casa modernamente construida, sita en esta corte, y su ca…</t>
  </si>
  <si>
    <t>…f de Arbizu, del Consejo de S. M. , su alcalde de casa y corte, que en ausencia del Sr. D. Martin de Gaztañaga, igual alcalde de casa y corte, despacha su audiencia, refrendada de D. Manuel López de Rivas, escribano de provincia y comisiones, y del juzgado de comandan cia de los Reales cuerpos de Artillería é Ingenieros de esta plaza, se ha mandado volver á sacar á publica subasta por otros 15 dias mas una casa modernamente cons truida, sita en esta corte y su…</t>
  </si>
  <si>
    <t>…sultan de autos D. Manuel Royales , D. Pedro Martínez Retuerta, D. Francisco y D. Josef de Arratia, D. Manuel Segundo Martinez, D. Pedro del Rio, la viuda de D. Inocencio Sánchez, D. Manuel López de Rivas, D. Josef An gel de Santelices, Facundo Calleja, Juan Mejorada, Pedro de la Peña, Santiago Vallalado , D. Juan Miguel Alcalá, D. Francisco García de la Penilla, Juan Fer nandez, Baltasar Puebla , D. Dionisio Perez Guerra, Sebastian Bazan, D. Blas Mar tinez y…</t>
  </si>
  <si>
    <t>…sejo de S. M., su alcalde de casa y corte, que'en ausencia de su compañero el S-. D. Mar tin de Gaztañaga despacha su audiencia, refrendada del escribano de provincia y comisiones D. Manuel López de Rivas, y á instancia del administrador secues trario del mayorazgo de Orozco y marquesado de Mortara, se ha mandado sacar á pública subasta el arrendamiento de una casa palacio arruinada, jardín y huerta contiguos, sito en el lugar de Carabanchel bajo , y perteneci…</t>
  </si>
  <si>
    <t>…Arbizu, del Consejo de S. M., su alcalde de casa y corte , que en ausencia del Se ñor D. Martin de Gaztañaga, igual alcalde de casa y corte , despacha su audiencia, refrendada de D. Manuel López de Rivas, escribano de provincia y comisiones, y del juzgado de comandan. de los Reales cuerpos de Artillería e Ingenieros de es ta plaza , se ha mandado volver á sacar al pregón por otros 1 5 dias una casa de construcción moderna, sita en la calle del Amor de Dios de…</t>
  </si>
  <si>
    <t>Rivas, Marcos Francisco</t>
  </si>
  <si>
    <t>Marcos Francisco Rivas</t>
  </si>
  <si>
    <t>…vecino de Quito; D. Mateo de Agüero Marcos, secreta rio general interino de la orden, y al capitán de navio D. Alejandro Gu tiérrez de Ruvalcaba. Cruces de Caballeros A los Sres. D. Marcos Francisco Rivas, presbítero, domiciliado en Cara cas ; D. Nicolás Blanco; D. Miguel García Carrasquedo; D. Francisco Es cudero; D. Ildefonso Ruiz del Rio; D. Luis Gargollo; D. Josef López del Diestro ; D. Andrés Marzan; D. Juan Miguel de Lostra; D. Antonio Fajar do; D. Tomas…</t>
  </si>
  <si>
    <t>River</t>
  </si>
  <si>
    <t>…9 á las seis de la tarde entró el Rey de Prusia en Aquisgran, donde fue recibido con las mayores demostraciones de regocijo. GRAN BRETAÑA. Londres Jg de Setiembre. Se asegura que lord River trata de vender los estados que tiene en Statfield al duque de Wellington, donde piensa este fijar su residencia. El ar quitecto Mr. Wiatt ha ido á reconocer dichas tierras, y ha señalado el pa rage donde ha de construirse la casa. Estas haciendas están situa…</t>
  </si>
  <si>
    <t>Rmo</t>
  </si>
  <si>
    <t>…lmirantazgo, se ha servido el Rey nom brarle corregidor de esta heroica villaEl 16 del corriente se cubrió á presencia de SS. MM. como grande de España de primera clase el Exorno. Sr. Rmo. P. M. P'r. Josef Garfia Palo mo, general del Real y Militar orden de la Merced , siendo su padrino el Excmo. Sr. duque de Híjar; á cuyo acto asistió toda la grandeza. En virtud de providencia de 17 del corriente del limo. Sr. D. Esteban Antonio' de Orellana,…</t>
  </si>
  <si>
    <t>Ro, María</t>
  </si>
  <si>
    <t>María Ro</t>
  </si>
  <si>
    <t>…el que fue defendido vigorosamente por fuerzas muy inferiores, señalándose las señoras de la casa del comandante D. Josef Julián Ximenez de Menzana Doña Dolores Romero, su esposa, Doña María Ro mero , Doña Josefa Perez, Doña Juana Landeros, Doña Dimas de Luna, María Máxima y las criadas, á quienes el Excmo. Sr. virey concedió el uso de una cinta blanca con cantos de color de oro. EJ 21 del mismo Octubre marchó en auxilio de este pueblo el capitán D.…</t>
  </si>
  <si>
    <t>Ro, Tosef</t>
  </si>
  <si>
    <t>Tosef Ro</t>
  </si>
  <si>
    <t>…regías de compañía; habiéndose hecho dig nos del aplauso y de que se Ies adjudícase el premio D.Pedro Pacheco, Don Josef Iglesia , D. Josef Cala, D. Josef Adan, D. Manuel Huertas, D. Tosef Ro mero, D. Josef Villanueva, D. Francisco Capulino, D. Juan Romero, D. Vicente Brete, D. Nicolás Moreno, y entre estos muy en particular Don Josef Cotera, que entrando en esta academia á la edad de seis años sin cono cer el alfabeto, y contando al presente solo…</t>
  </si>
  <si>
    <t>Roa, Josef Alonso de</t>
  </si>
  <si>
    <t>Josef Alonso de Roa</t>
  </si>
  <si>
    <t>…no airada, sin que sea de su obligación afeitar. Los pretendientes, que han de ser aprobados, dirigirán sus memoriales por la caja de Illescas, hasta el dia 20 de Junio próximo, á D. Josef Alonso de Roa, alcalde ordinario de él. Se halla vacante el partido de médico de la viila de Sacedon, en la Alcarria, por ascenso de D. Marcelino Sanz á médico inspector de los Realesbaños, cuya dotación es la de 400 ducados, pagados de sus propios, y 200 por repartimiento…</t>
  </si>
  <si>
    <t>Robles, Josef González de</t>
  </si>
  <si>
    <t>Josef González de Robles</t>
  </si>
  <si>
    <t>…perial con la dedicatoria al pie de ella, y se hallará de venta al bajo pre cio de 10 rs. vn. en Madrid en la librería de Dávila, calle de las Carretas; en León, casa del relojero D. Josef González de Robles; en la Coruña en la botica de Moroy, y en Santiago en la de Sanmartín. _ “ EN LA IMPRENTA REAL.</t>
  </si>
  <si>
    <t>Rodas, Amonio María de</t>
  </si>
  <si>
    <t>Amonio María de Rodas</t>
  </si>
  <si>
    <t>…yor que era de Villafranca del Vterzo; y para el de Estepona á D. Carlos Tomas Banetti: para la vara de Alhendin á X). Francisco de Paula de Cárdenas : para la del Viso de Alcor á D. Amonio María de Rodas: para la de los valles de Soba, Rnesga y Villaverde á Don Manuel Tagle: para la de Baena á D. Manuel Valdés: para la de Lodosa á D. Esteban Ximenez Dorador : para la de Peñaranda de Bracamonte á Don Dámaso Megía Girón , corregidor que era de Rueda del Almiran…</t>
  </si>
  <si>
    <t>Rodénas, Diego</t>
  </si>
  <si>
    <t>Diego Rodénas</t>
  </si>
  <si>
    <t>…. Francisco Samartin, médico de número de egército, para la Elísea ó Aliseda : en el reino de Granada D. Francisco Gar cía Malo, establecido en la ciudad de Valencia, para Graena: D. Diego Rodénas, médico titular de la ciudad de Aljama, para los baños de este mismo nombre y pueblo: en la costa de Málaga á D. Juan de la Monja, médico ti tular de Pedraza de la Sierra, para Ardales: en el reino de Sevilla D. Miguel Baldovi, residente en S. Felipe de Xátiv…</t>
  </si>
  <si>
    <t>Rodrí, Esteban</t>
  </si>
  <si>
    <t>Esteban Rodrí</t>
  </si>
  <si>
    <t>…s. D. Manuel Fernandez Varela, deán de Lugo; D. Antonio García Bermejo, capellán de honor de S. M.; D. Pablo Lorenzo Largo Carrasco , canónigo doctoral de la catedral de Cuenca ;, D. Esteban Rodrí guez Salas, canónigo de la catedral de Málaga; D. Josef de Urrutia y Egurvide Azula canónigo de la metropolitana de Valencia. Gages de secretario de S. M. A D. Francisco Hurtado de Mendoza, archivero de la primera secretaría de Estado, con honores de oficial…</t>
  </si>
  <si>
    <t>Rodríguez, Cristóbal</t>
  </si>
  <si>
    <t>Cristóbal Rodríguez</t>
  </si>
  <si>
    <t>…uradores y secretario, auxiliados según ordenanza por el catedrático; siendo los premiados en retórica y poé tica D. Josef Luciano Caballero, natural de las montañas de Santander, Don Cristóbal Rodríguez deHinojbsa, de Lebrija, y D. Antonio Rodríguez Ferrer, de Moron : en sintaxis, prosodia y arte métrica D. Benito de Salas y Vida! y D. Luis García Monge, ambos de Lebrija: en rudimentos D. Juan Fayula, D. Pedro Garfia, D. Pablo Pavón, D. Juan de Quintaniila,…</t>
  </si>
  <si>
    <t>Rodríguez, Francisco</t>
  </si>
  <si>
    <t>Francisco Rodríguez</t>
  </si>
  <si>
    <t>…de S. E. El teniente D. Josef María del Toro, el subteniente D. Ignacio Bobadi lla, idem D. Joaquin Arzamendi, Ídem D. Josef María Carmona, el ciru jano D. Miguel Añon, el cadete D. Francisco Rodríguez, idem D. Juan La gos, idem D. Lope Urriza, del regimiento fijo. El subteniente D. Juan Mo rilla, de la partida de España. El alférez D. Josef Mariano Campo, el ca dete D. Bernardo Franco, idem D. Josef Zacarías Puente, de lanceros. El alférez D. Joaquin Nuñez…</t>
  </si>
  <si>
    <t>Rodriguez, Francisco</t>
  </si>
  <si>
    <t>Francisco Rodriguez</t>
  </si>
  <si>
    <t>…Alonrso, D. Cesáreo Viguera, D. Miguel Chana, D. Antonio Castro, D. Toribio González, D. Santiago Alonso, D. Tomas Pardo, D. Ignacio Ojero, Don Fernando Movilla, D. Manuel Gómez, D. Francisco Rodriguez, D. Alvaro Chaves, D. Fernando García, D. Bernardino Lorenzo y D. Luis de León. El R. P. prior de Sto. Domingo demostró en un discurso que sin la reliion, virtud y buena educación no bastan las leyes á morigerar los pueblos: ). Bernardo de Choya, uno de los j…</t>
  </si>
  <si>
    <t>…Miño 419 pesos, 2 rs. y 9 granos , correspondientes á Anto nio, María Antonia, Fernando, Juan de Dios y Francisco Rodríguez, residentes en la ciudad de Cádiz, hijos y herederos de D. Francisco Rodríguez, que falleció en Acapulco en el año de 1788, por cuyo líquido entraron en tesorería general en clase de depósito 7582 rs. y 29 tnrs. vu,; é ignorándose el paradero de los interesados á esta testamentaría, se cita por medio de la gaceta y diario de esta corte,…</t>
  </si>
  <si>
    <t>Rodríguez, Josef</t>
  </si>
  <si>
    <t>Josef Rodríguez</t>
  </si>
  <si>
    <t>…seráfico padre S. Francisco, y acordó sortear cuatro dotes de á 500 reales cada uno á otras tantas huérfanas, lo cual se verificó con toda solemnidad. Gordejaela I $ de Diciembre. D. Josef Rodríguez de las Conchas, hallándose de catedrático de huma nidades, presentó el 23 de Setiembre último 50 alumnos á examen público, presidido por los vocales de la junta de patronos de dicho colegio, con asis tencia del venerable cabildo eclesiástico y otras varias pe…</t>
  </si>
  <si>
    <t>…elas de este nombre: en el reino de Murcia D. Juan Alix, médico titular de la villa de Cieza, para Archena: en Navarra D. Angel Sanz, médico de Cervera del Rio Alama, para Fitero: D. Josef Rodríguez, médico de la villa de Pastrana, en la Al carria, para Velascoain : en el reino de Valencia D. Joaquín Ruiz de Lope, médico titular de la villa de Albatera, para Bussot. El interesado que no hubiese recibido por sí, por medio de apoderado, ó bien por el corre…</t>
  </si>
  <si>
    <t>…egecutadas por D. Vicente Fuciño con tan ta perfección como inteligencia, y de exquisitos y exactísimos instrumen tos de matemáticas que se compraron en París bajo la dirección de D. Josef Rodríguez , catedrático de física de la misma universidad , bien conocido den tro y fuera de España por sus profundos conocimientos en las ciencias exac tas y naturales; y linalmente á él y á ios incesantes desvelos de aquellos ca tedráticos y doctores se debe el gran…</t>
  </si>
  <si>
    <t>Rodríguez, Juan</t>
  </si>
  <si>
    <t>Juan Rodríguez</t>
  </si>
  <si>
    <t>…l de Castro Araos, teniente de Rey de la plaza de Campeche: la ayudantía de la de Cunaaná á D. Melchor Hidalgo, teniente de infantería: la capitanía de llaves del Callao de Lima á D. Juan Rodríguez, subteniente de la misma arma, y la de Cartagena de Indias á D. Juan García, sargento primero del regimiento de voluntarios de la Victoria, En España. El gobierno del fuerte de Marín en Galicia á D. Joaquín García , teniente del regimiento provincial de Tuy :…</t>
  </si>
  <si>
    <t>Rodríguez, Juan Francisco</t>
  </si>
  <si>
    <t>Juan Francisco Rodríguez</t>
  </si>
  <si>
    <t>…D. Fermín Galccran. En geometría el citado Martínez , D. Josef María Loureiro, D. Manuel María Vicario , Don Cosme Arias, D. Josef Alonso, D. Benito Pereira, D. Florencio Pereira, D. Juan Francisco Rodríguez, D. Josef Vicente Veiga, D. Joseí Abad y D. Gregorio Cancela. En trigonometría plana los mismos Martínez , Lourei ro, Galceran, Vicario, Arias, Pujadas, Cancela , D. Benito y D. Florencio Pereira, D. Josef Perez, D. Ignacio Palacios y D. Juan Pablo Rodríguez»…</t>
  </si>
  <si>
    <t>Rodríguez, Juan Pablo</t>
  </si>
  <si>
    <t>Juan Pablo Rodríguez</t>
  </si>
  <si>
    <t>…lacios y D. Juan Pablo Rodríguez» En trigonometría esférica el mismo Rodríguez, Perez, Pujadas, Galceran, Loureiro, Palacios y D. Benito Pereira. En cosmografía el referido Perez, D. Juan Pablo Rodríguez, D. Domingo Valay, D. Francisco Galceran y D. Lino Pacheco. En geografía los referidos Pujadas, Valay y D. Fermín Galceran. En navegación los expresados Perez y D. Juan Pablo Rodríguez; y en la hidrostática é hidráulica los referidos Pacheco y D. Francisco Ga…</t>
  </si>
  <si>
    <t>Rodríguez, Leonor</t>
  </si>
  <si>
    <t>Leonor Rodríguez</t>
  </si>
  <si>
    <t>…que contrajo el comandante de la flechera Fernando vil D. Josef López, que murió en la acción , y cuyas últimas palabras fueron muero gor mi Rey¡ para que recaigan sobre su viuda Doña Leonor Rodríguez aquellas gracias á que S. M. la crea acreedora: López no tenia carácter militar; era uno de los particulares fieles á su Soberano que desde que se declaró la insurrección no ha cesado de batirse con sus secuaces, y de prestarse á teda clase de ser vicios.” Ci…</t>
  </si>
  <si>
    <t>Rodríguez, Manuel</t>
  </si>
  <si>
    <t>Manuel Rodríguez</t>
  </si>
  <si>
    <t>…o, carrera de S. Gerónimo, y en la de Quiroga, calle de las Carretas; en Vitoria en la de Barrio; en Búrgos en la de Alvarez; en Valladolid en la de Santander, y enHaro en casa de D. Manuel Rodríguez, médico de di cha villa. EN LA IMPRENTA REAL,</t>
  </si>
  <si>
    <t>Rodríguez, Marcos</t>
  </si>
  <si>
    <t>Marcos Rodríguez</t>
  </si>
  <si>
    <t>…ran cisco de las Piedras.” IXTLAHUACA. Partes del coronel D. Matías Martin y Aguirre. i.° „ Excmo. Sr.: Con oficio de 14 del corriente me ha dirigido el te niente coronel graduado D. Marcos Rodríguez, comandante de Maravatio, el adjunto parte del capitán del regimiento de infantería fijo de México Don Vicente Filisola, que elevo á las superiores manos de V. E. para su debido conocimiento, recomendando á los individuos que expresa. ,, Dios guarde á V. E. m…</t>
  </si>
  <si>
    <t>…s y prisioneros quedan á disposición de vmd. en la prevención de dragones de España. „Dios guarde á vmd. muchos años. Maravatio Marzo 11 de 1817.=Vi cente Filisola. = Sr. teniente coronel D. Marcos Rodríguez.” El Excmo. Sr. virey, en prueba del aprecio que le ha merecido la con ducta del capitán D. Román de la Madrid, ha prevenido al subinspector que se le tenga presente para sus ascensos, y al cadete D» Rafael Canto le ha conferido el empleo de alférez agregado,…</t>
  </si>
  <si>
    <t>Rodriguez, Mateo</t>
  </si>
  <si>
    <t>Mateo Rodriguez</t>
  </si>
  <si>
    <t>…Sal gado, D. Cándido de la Fuente , D. Josef García Vázquez , D. Aquilino Lu nar, D. Pedro Gómez, D. Celedonio Casado, D. Vicente Berdion , Don Joa quín Lumeras, D. Tomas Asensio, D. Mateo Rodriguez, D. Valentín Ga veta, D. Pedro Martin, D. Antonio Fernandez, D. Andrés Redondo, Don Federico Movilla, D. Bernardo Huelga, D. Esteban Blanco, D. Miguel Alonrso, D. Cesáreo Viguera, D. Miguel Chana, D. Antonio Castro, D. Toribio González, D. Santiago Alonso, D.…</t>
  </si>
  <si>
    <t>Rodríguez, Pedro</t>
  </si>
  <si>
    <t>Pedro Rodríguez</t>
  </si>
  <si>
    <t>…das les han cau sado mucho estrago -r y por último, según están cercados, no debe escapar ninguno.” Con fecha 3 del corriente Agosto dice de Irapuato el coronel D. Juan Pesquera á D. Pedro Rodríguez lo siguiente: „ Acabo de saber por un correo que me llegó de Silao que nuestras tro pas tienen completamente sitiado á Mina , Borja y Moreno en Comanja; que ya Navarra les tomó un fortín, y que la artillería nuestra les ha causado considerables estragos. Es c…</t>
  </si>
  <si>
    <t>Rodríguez, Rafael</t>
  </si>
  <si>
    <t>Rafael Rodríguez</t>
  </si>
  <si>
    <t>…z del Prado, D. Lorenzo Fer nandez de León, D. Juan Lorenzo Sánchez Cueto, D. Luis Franco, Doña Librada Perez Escovar, D. Joaquin Antonio Román, los Sres. Alzueta y Beratarrechea, D. Rafael Rodríguez, D. Juan de Dios Elias, los Sres. Bohe, hermanos y compa ñía, D. Mariano de Urbieia, D. Josef Uhicon, D. Ignacio Suarez, D. Francisco Antonio Abadía, D. Mariano Gil y D. Josef Vilar, últimos tenedores de 32 vales Reales, 15 de ellos de 150 pesos, creación de…</t>
  </si>
  <si>
    <t>Rogniat</t>
  </si>
  <si>
    <t>…ión inglesa de la misma batalla: los partes oficiales francés, ingles, prusiano y español, con las consideraciones sobre este memorable acontecimiento del teniente general francés barón Rogniat: acompañan igualmente á esta obra los dos planos geográfico y topográfico de la batalla. Se halla de venta en la librería de Perez, calle de las Carretas; en Cádiz en la de Hortal y compa ñía, á 17 rs. en rustica y 19 en pasta, y en las provincias un real mas…</t>
  </si>
  <si>
    <t>Rojas, Antonio García</t>
  </si>
  <si>
    <t>Antonio García Rojas</t>
  </si>
  <si>
    <t>…villa de Zamora D. Juan Antonio Brizuela , que á la letra es como sigue: ,,Excmo. Sr. general: A las 12 de la noche del dia i.° del corriente en vié una partida á las órdenes del capitán D. Antonio García Rojas á las in mediaciones del pueblo de Tanguancicuaro con el objeto de estorbar que en la misma noche le incendiaran los rebeldes, de cuyo intento habia tenido no ticia. Presentándose cerca de dicho pueblo el cabecilla Mier con su gavilla, salió dicho capitán de…</t>
  </si>
  <si>
    <t>Rojas, Josef Antonio</t>
  </si>
  <si>
    <t>Josef Antonio Rojas</t>
  </si>
  <si>
    <t>…a, comandante mi litar de la villa de Zamora, me dice con fecha de 9 del corriente, á las nue ve de la mañanado que sigue: ,,Excmo. Sr.: Ahora mismo acabo de recibir una carta del capitán Don Josef Antonio Rojas , que original acompaño á V. E. para su debido supe rior conocimiento , y que tenga V. E. la satisfacción de saber ia derrota que sufrió el rebelde Rayón por el valiente capitán Correa. „ Reyes Dicreixibre 7 de r8i6ñ las siete de la noche. =Sr. D. Josef An-</t>
  </si>
  <si>
    <t>Rolando</t>
  </si>
  <si>
    <t>…, logró entrar en esta ciudad el 24 al medio dia sin la menor pérdida. El 25 á las 6 de la mañana entró igualmente en esta ciudad la división auxiliar de Potosí, á las órdenes del coronel Rolando, con 700 hombres , ade mas de 80 reclutas y 2 piezas de á 4; y el 31 por la tarde la del brigadier O-Reilly con 500 hombres y un cañón. La Madrid pasó á Tarabuco, donde se ha reunido con los muchos cau dillos déla provincia, ha escogido la mejor gente de esto…</t>
  </si>
  <si>
    <t>Román</t>
  </si>
  <si>
    <t>ioi6 escribanía del mismo que egerce D. Román lorenzo Calvo, que lo es de cámara de dicho supremo Consejo de la Guerra, por medio de procurador de los Reales Con sejos con poder bastante á deducir el derecho de que respectivamente juzguen ha llarse asistidos; con apercibimiento que pasado dicho término s…</t>
  </si>
  <si>
    <t>cliu Viejo, lo verifiqué á las dos de la mañana de hoy con 29 dragones de España y el piquete que había traído el capitán del regimiento de infantería de línea de México D. Román de la Madrid, cuyo número era de 10 hom bres montados. A las ocho de ella llegué al mencionado pueblo, donde me informé del paradero del referido cabecilla , y todos convinieron en que no se hallaba por aquellas cercanías , y que solo unos cuantos ladrones es…</t>
  </si>
  <si>
    <t>Román, Joaquin Antonio</t>
  </si>
  <si>
    <t>Joaquin Antonio Román</t>
  </si>
  <si>
    <t>…de 30 días, contados desde esta publicación, á D. Manuel Saenz del Prado, D. Lorenzo Fer nandez de León, D. Juan Lorenzo Sánchez Cueto, D. Luis Franco, Doña Librada Perez Escovar, D. Joaquin Antonio Román, los Sres. Alzueta y Beratarrechea, D. Rafael Rodríguez, D. Juan de Dios Elias, los Sres. Bohe, hermanos y compa ñía, D. Mariano de Urbieia, D. Josef Uhicon, D. Ignacio Suarez, D. Francisco Antonio Abadía, D. Mariano Gil y D. Josef Vilar, últimos tenedores de…</t>
  </si>
  <si>
    <t>Romanillos, Lorenzo de Francisco</t>
  </si>
  <si>
    <t>Lorenzo de Francisco Romanillos</t>
  </si>
  <si>
    <t>…os menciona dos Ambrosio González , Lázaro de Bejar y Andrés Nfartin Candelas; y con premios extraordinarios Juan Bajo, Eulogio Salcedo y Lucas Diaz. En el dibujo fueron premiados D. Lorenzo de Francisco Romanillos y D. Valen tín Chaola con premio igual; y por fin Se adjudicó al sordo-mudo Ramón Rosel un premio extraordinario, y otro á D. Juan Casaña en recompensa de los bellos dibujos que presentó á la sociedad. Estos premios consistían en una medalla de pl?tá cotí la imagen dé n…</t>
  </si>
  <si>
    <t>Romeral, Carlos Martin del</t>
  </si>
  <si>
    <t>Carlos Martin del Romeral</t>
  </si>
  <si>
    <t>…a^cueña, en la Alcarria, para Alcantud : D. Josef Menchero, médico de número de los Reales egércitos, y de la fábrica de las espadas de la ciudad de Toledo , para Solan de Cabras: Don Carlos Martin del Romeral, establecido en esta corte, para Puertollano: en Castilla la Vieja D. Pablo Montesino para Ledesma: D. Juan Francisco Amatriain para Arnedillo: en Aragón D. Manuel Arranz , médico de la villa de Aranda de Duero,para Quinto: D. Ramón Marsonell, médico de Ateca…</t>
  </si>
  <si>
    <t>Romero, Antonio</t>
  </si>
  <si>
    <t>Antonio Romero</t>
  </si>
  <si>
    <t>…artida de España. El alférez D. Josef Mariano Campo, el ca dete D. Bernardo Franco, idem D. Josef Zacarías Puente, de lanceros. El alférez D. Joaquin Nuñez, de húsares. El alférez D. Antonio Romero, el agregado D. Julián Montero, de realistas del Puente. Campo de Boquilla de Piedra 28 deNoviembre de 1816. = Josef Rincón. DIVISION EXPEDICIONARIA DE VERACRUZ. Relación que manifiesta los individuos que en la acción del 24 del cor riente se hicieron prision…</t>
  </si>
  <si>
    <t>Romero, Francisco Lujan y</t>
  </si>
  <si>
    <t>Francisco Lujan y Romero</t>
  </si>
  <si>
    <t>24 Hería á los caballeros cadetes del colegio militar de Segovia D. Isidro Baeza y Santillana, D. Pedro Lujan y Romero, D. Francisco Lujan y Romero, D. Cayetano Urbina y Daoiz, D. Josef Fuentes y Elias , D. Francisco Zacagnini y Monzon, D. Pablo Tous y Fíol, D. Miguel Jorganes y Mario, D. Antonio Venene y Andrade, D. Julián Gata y Malpica, D. Mariano Canals y May oís, D. Juan Molins y Cabañiés, D. Juan d…</t>
  </si>
  <si>
    <t>Romero, Juan</t>
  </si>
  <si>
    <t>Juan Romero</t>
  </si>
  <si>
    <t>…que se Ies adjudícase el premio D.Pedro Pacheco, Don Josef Iglesia , D. Josef Cala, D. Josef Adan, D. Manuel Huertas, D. Tosef Ro mero, D. Josef Villanueva, D. Francisco Capulino, D. Juan Romero, D. Vicente Brete, D. Nicolás Moreno, y entre estos muy en particular Don Josef Cotera, que entrando en esta academia á la edad de seis años sin cono cer el alfabeto, y contando al presente solos ocho, mereció en estas tareas un lugar distinguido. Por último,…</t>
  </si>
  <si>
    <t>Romero, Manuel Vega y</t>
  </si>
  <si>
    <t>Manuel Vega y Romero</t>
  </si>
  <si>
    <t>…l Zizur y Azanza, D. Joaquín Basols y Marañosa, D. Josef Amat y Desvaíls, D. Pablo Navas y Loigorri, D. Josef Navarro y Alarcon , D. Agustín Blake y Tovar, D. Josef Romero Dorado, D. Manuel Vega y Romero, D. Al varo de Navia y Osorio, D. Juan de ia Lastra y Mata, D. Dionisio Sierra y Abello, D. Antonio Jácome y Villena, D. Antonio Fernandez Pinzón, Don Antonio de los Reyes y Céspedes, D. Josef García Merlo, y á los artilleros disti nguidos D. Josef Torrecilla…</t>
  </si>
  <si>
    <t>Romero, Pedro Lujan y</t>
  </si>
  <si>
    <t>Pedro Lujan y Romero</t>
  </si>
  <si>
    <t>24 Hería á los caballeros cadetes del colegio militar de Segovia D. Isidro Baeza y Santillana, D. Pedro Lujan y Romero, D. Francisco Lujan y Romero, D. Cayetano Urbina y Daoiz, D. Josef Fuentes y Elias , D. Francisco Zacagnini y Monzon, D. Pablo Tous y Fíol, D. Miguel Jorganes y Mario, D. Antonio Venene y Andrade, D. Julián Gata y Malpica, D. Mariano Canals y May oís, D. Juan…</t>
  </si>
  <si>
    <t>Romero, Vicente</t>
  </si>
  <si>
    <t>Vicente Romero</t>
  </si>
  <si>
    <t>…cias de Fondo; D. Agustín Rodríguez y Fernandez, vecino de Montevideo; al capitán de fragata D. Juan Bautista Topete; D. Antonio Estevez, arcipreste de la colegiata de Medinaceli; Don Vicente Romero, oficial primero de la secretaría del despacho de Hacienda de Indias; D. Josef Villar y Frontín, oficial de la secretaría del despacho de Hacienda de España. Honores del tribunal de la Rota de la Nunciatura A los Sres. D. Manuel Fernandez Varela, deán de Lugo…</t>
  </si>
  <si>
    <t>Romo, Judas Josef</t>
  </si>
  <si>
    <t>Judas Josef Romo</t>
  </si>
  <si>
    <t>…de número y ayuntamiento D. Félix de Velasco; tenien do entendido que su provisión se ha de realizar en todo el presente mes. Libia, ó la conjuración contra Viríato: tragedia por D. Judas Josef Romo, de dicada á la Excma. Sra. Doña Luisa Escrivá, marquesa viuda de Valdecarzana. Vén dese á 4 rs. en las librerías de Perez y Castillo, donde se hallarán también las obser vaciones sobre la ortografía castellana y el arte de leer del mismo autor. EN LA IMPRENT…</t>
  </si>
  <si>
    <t>Roña, Pedro de</t>
  </si>
  <si>
    <t>Pedro de Roña</t>
  </si>
  <si>
    <t>…n des truido varios buques, sin que de ellos se hayan podido salvar ni aun las tri pulaciones, habiéndose cegado al mismo tiempo varios ríos y canales. FRANCIA. París ij de Enero. D. Pedro de Roña, canónigo de la catedral de Adria (Lombardía) , cum plió el dia 15 de Diciembre último no anos, y fue por su pie á la catedral, donde celebró la misa mayor, y cantó con una voz muy clara. Todo el pueblo le siguió al retirarse á su casa. Escriben de Marsella q…</t>
  </si>
  <si>
    <t>Rosales, Ambrosio de Velasco y Oraoño</t>
  </si>
  <si>
    <t>Ambrosio de Velasco y Oraoño Rosales</t>
  </si>
  <si>
    <t>…ellán D. Francisco Carpintero y Eraso. Para el de S. Bartolomé en Salamanca. Rector D. Ramón de Aguilar Fernandez de Córdoba. Consiliario T.° Don Anselmo de Isla Manrique. Idem 2° D. Ambrosio de Velasco y Oraoño Rosales. Idem 3.0 D. Francisco Zapata Bueno. Capellán D. Josef Sendia Calderón. Para el del Arzobispo en Salamanca. Rector D. R amon de Planella y Fivaller. Consiliario i.° D. Josef Jalotl y Jalón. Idem 2.0 D. Rafael Bermudez. Idem 3.0 D. Francisco Ribera y Maestre»…</t>
  </si>
  <si>
    <t>Rosas, Josef Ignacio Ortiz de</t>
  </si>
  <si>
    <t>Josef Ignacio Ortiz de Rosas</t>
  </si>
  <si>
    <t>…” 2.0 Del Exento. Sr. comandante general mariscal de campo D. Josef de la Cruz. ,, Excmo. Sr.: Paso á manos de V. E. el adjunto parte original que me ha dirigido el sargento mayor D. Josef Ignacio Ortiz de Rosas, comandante de la segunda división de este egército, de resultas de la recorrida que hizo por varios puntos de las inmediaciones de la villa de Lagos en persecución de los rebeldes. „Dios guarde á V. E. muchos años. Guadalajara Diciembre 31 de 1816.= Excmo. S…</t>
  </si>
  <si>
    <t>Rosso, Domingo</t>
  </si>
  <si>
    <t>Domingo Rosso</t>
  </si>
  <si>
    <t>…. K. muchos años. Queretaro Marzo 12 de 1817.= Excmo. Sr. = Ignacio García Rebollo. = Excmo. Sr. virey D. Juan Ruiz de Apodaca.” Partes del capitán Z). Cristóbal Viilaseñor. ,, El teniente D. Domingo Rosso, que salió con una partida á explorar las inmediaciones de esta hacienda , ha cogido prisionero al capitán de rebel des Josef María Candon , que se hallaba en el camino de Casas Viejas cobran do la contribución á los comerciantes. ,, Recomiendo á V. S. este b…</t>
  </si>
  <si>
    <t>Rostan</t>
  </si>
  <si>
    <t>…l y exactamente practicados á favor de los santos Lugares. Sin embargo creeríamos no cumplir con nuestro deber si omitiésemos el elevar á la noticia de V. E. los méritos que dicho Sr. Rostan ha contraido por la exactitud en el cumplimiento del presente negocio, por todo lo cual se ha hecho merecedor de cualquiera atención, y ha obligado á esta comu nidad á estarle eternamente agradecido; y nosotros en prueba de nuestra gratitud damos el presente…</t>
  </si>
  <si>
    <t>…úmero de piastras que el bajá de esta ciudad debía devolver á Tierra Santa, en virtud de la orden que á influjo de V. E. ha expedido ei Gran Señor, y dirigido á este bajá. „ Dicho Sr. Rostan, después de una rápida y penosa marcha que em prendió desde S. Juan de Acre á esta ciudad, andando en dos dias el camino de cinco jornadas que hay de aquella á esta, con la circunstancia de no ha ber (por ciertos incidentes) tomado en el viage otro género de…</t>
  </si>
  <si>
    <t>Rostan, Josef</t>
  </si>
  <si>
    <t>Josef Rostan</t>
  </si>
  <si>
    <t>…dad de Damasco, en obsequio de la verdad, y penetrados al mismo tiempo de la mas viva gratitud, no podemos menos de elevar á la alta consideración de V. E. la heroica conducta del Sr. D. Josef Rostan en el desempeño de la comisión que V. E. ha tenido á bien confiarle, relativa á la exacción del número de piastras que el bajá de esta ciudad debía devolver á Tierra Santa, en virtud de la orden que á influjo de V. E. ha expedido ei Gran Señor, y dirigido á e…</t>
  </si>
  <si>
    <t>Rovira, Pedro Josef</t>
  </si>
  <si>
    <t>Pedro Josef Rovira</t>
  </si>
  <si>
    <t>…busta, y que promete vida. La madre sigue sin novedad. Madrid 8 de Enero. El dia 12 de Diciembre último tuvieron el honor de felicitar á SS. MM., á nombre de la villa de Olivenza, D. Pedro Josef Rovira, sil alcalde mayor, y el Dr. D. Francisco María Riesco , inquisidor de corte; y el primero ha bló á S. M. en los términos siguientes: „ Señor: Si todos los pueblos de la monarquía que felizmente rige V. M. cumplen con su deber rindiendo homenages de amor y re…</t>
  </si>
  <si>
    <t>Royales, Manuel</t>
  </si>
  <si>
    <t>Manuel Royales</t>
  </si>
  <si>
    <t>…á las nueve en punto de su mañana, citándoles por medio de este pe riódico, mediante á que no se sabe de la existencia de la mayor parte de ellos, siendo los que resultan de autos D. Manuel Royales , D. Pedro Martínez Retuerta, D. Francisco y D. Josef de Arratia, D. Manuel Segundo Martinez, D. Pedro del Rio, la viuda de D. Inocencio Sánchez, D. Manuel López de Rivas, D. Josef An gel de Santelices, Facundo Calleja, Juan Mejorada, Pedro de la Peña, Santia…</t>
  </si>
  <si>
    <t>Rozas, Josef Perez de</t>
  </si>
  <si>
    <t>Josef Perez de Rozas</t>
  </si>
  <si>
    <t>…plata con su lema en el anverso alusivo á la atribución ú objeto del arte, yen el reverso las armas de la ciu dad , siendo los cuatro primeros premios sobredorados. El corregidor Don Josef Perez de Rozas, presidente de ambas juntas, penetrado de la incalcu lable utilidad é importancia de estas instituciones literarias, emplea su zelo infatigable y singular en protegerlas, con el noble y elevado designio de lle gar á formar un verdadero seminario provincial, q…</t>
  </si>
  <si>
    <t>Ru, Nicolás de</t>
  </si>
  <si>
    <t>Nicolás de Ru</t>
  </si>
  <si>
    <t>…o plenipotenciario de Prusia, quién presentó á S. M. dos cartas de su Soberano; una noticiándole el matrimonio de S. A. R. lá Princesa Carlota , hija del Rey, con S. A. I. el gran duque Nicolás de Ru sia, y la otra participándole el nacimiento de un Príncipe, hijo de S. A. R* el Príncipe Guillermo, hermano del Rey. El conde de Otto, antiguo embajador de Francia en las cortes de Viena, Londres y Munich , falleció el 9 de este mes á la edad de 64 años. Tamb…</t>
  </si>
  <si>
    <t>Rubido, Pablo Francisco</t>
  </si>
  <si>
    <t>Pablo Francisco Rubido</t>
  </si>
  <si>
    <t>…pa ha llenado á mi satisfacción sus deberes, especialmente el indicado gefe y los comandantes de las divisiones de derecha é izquierda, capitán D. Car los Moya y el de igual clase D. Pablo Francisco Rubido, gobernador inte rino de Acapulco, y que al fortín grande, que los enemigos llenos de orgu llo consideraban inexpugnable con el pomposo título del Refugio de sus se cuaces , he titulado por el Rey fertin de S. Juan de Dios. ,,Dios guarde á V. E. muchos años.…</t>
  </si>
  <si>
    <t>Rubini, Pedro</t>
  </si>
  <si>
    <t>Pedro Rubini</t>
  </si>
  <si>
    <t>…originada de la miseria que se padeció desde el otoño ultimo, pues ya ha tomado el Gobierno las mas acertadas providencias para que no falte el mantenimiento á la gente pobre. El profesor Pedro Rubini, que ha escrito un excelente- tra tado sobre las fiebres malignas,ha mostrado el mayor zelo en la asistencia de los enfermos. Este sabio profesor ha sido nombrado comendador de la orden de Constantino; y en el diploma que se le ha despachado se-dice-entre otr…</t>
  </si>
  <si>
    <t>Rubino, Josef</t>
  </si>
  <si>
    <t>Josef Rubino</t>
  </si>
  <si>
    <t>…comunicase traslado á D. Nicolás Antonio Llano, Pedro Martin Molins, Agustín Alegrin, Sres. D. Francisco Argel é hijos, Pablo París, Miguel Mayoral, Manuel González de la Torre y D. Josef Rubino, tenedores de los referidos vales, k quienes para que llegase á su noticia se publicase en la gaceta y diario de esta ca pital , á fin de que si se considerasen con derecho á los enunciados vales se presen ten á deducirle en el término de 30 dias, contados de…</t>
  </si>
  <si>
    <t>Rubio, Jos-f</t>
  </si>
  <si>
    <t>Jos-f Rubio</t>
  </si>
  <si>
    <t>…r, como por el presente se cita, ilima y e rp'aza, a todas y cualesquiera personas que se conceptúen con derecho a los bienes quedados con motivo del fallecimiento abintestato del Sr. D. Jos-f Rubio, brigadier de ¡os Reales egércitos de S. M., y capi tán del regimiento ¡ntantena de Reales Guardias Españolas, de resultas de Ja bata lla de Ocaña ocurrida el dia 19 de No&gt; remore de 1809, para que en el preciso y perentorio término de 20 dias, que por segund…</t>
  </si>
  <si>
    <t>Rubio, Josef</t>
  </si>
  <si>
    <t>Josef Rubio</t>
  </si>
  <si>
    <t>128 „Excmo. Sr.: El comandante de las armas de Tlaxcala me ha remitido los dos partes originales que le pasaron el teniente D. Josef Rubio y subte niente D. Josef Rahi de dos salidas que hicieron de aquella plaza con la tro pa que el referido comandante puso á sus respectivas órdenes, los cuales acompaño á V. E. para su superior conocimiento. „Dios guarde á V. E. muchos años. Puebla Junio 3 de 1…</t>
  </si>
  <si>
    <t>…, corno por el presen te se cita, llama y emplaza, á todas y cualesquiera personas que se conceptúen con derecho á los bienes quedados con motivo del fallecimiento abintestato dei Sr. Don Josef Rubio, brigadier que fue de los Reales egércitos de S. M., y capitán del re gimiento de infantería de Reales Guardias Españolas, de resultas de la batalla de Ocaña ocurrida el dia 19 de Noviembre de 1809, para que en el preciso y perento rio término de 30 dias, que…</t>
  </si>
  <si>
    <t>…vilegiado, se ha mandado citar, llamar y emplazar á to das y cualesquiera personas que se conceptúen con derecho á los bienes quedados con motivo del fallecimiento abintestato del Sr. D. Josef Rubio, brigadier que fue de los Reales egércitos de S. M., y capitán del regimiento infantería de Reales guardias Españolas, de resultas de la batalla de Ocaña, ocurrida el día 19 de No viembre de 1809, para que en el preciso y perentorio término de 10 dias, que po…</t>
  </si>
  <si>
    <t>Rubio, Josef López</t>
  </si>
  <si>
    <t>Josef López Rubio</t>
  </si>
  <si>
    <t>…o D. Félix Josef Reinoáo , bien conoci do entre los literatos españole^, y con especialidad entre las musas sevillanas. El exquisito análisis y discernimiento con que respondieron D. Josef López Rubio , D. Diego Suarez y D. Manuel Romera á las cuestiones que se les propusieron sobre los principios generales de las bellas artes y de las bellas letras, y sobre los elementos de la gramática general, observaciones sobre el</t>
  </si>
  <si>
    <t>Rubio, Juan Sánchez</t>
  </si>
  <si>
    <t>Juan Sánchez Rubio</t>
  </si>
  <si>
    <t>…, natural de este sitio : en la segunda D. Josef Tejada , natural de Madrid, D, Eladio Ra mos , seminarista , y D. Cárlos Larravide, de este sitio: en la tercera los se minaristas D. Juan Sánchez Rubio, D. Ramón Pintor y D. Policarpo Gon zález, á quienes distribuyó las medallas el Rmo. prior, tocando entre tanto una orquesta ,que hizo mas plausible y brillante el acto, al que se dio fin por una exhortación, que dirigió aquel á todos los discípulos, excitánd…</t>
  </si>
  <si>
    <t>Rubio, Tomas Redondo</t>
  </si>
  <si>
    <t>Tomas Redondo Rubio</t>
  </si>
  <si>
    <t>…son 6‘d rs., 200 para casa, cuatro carros de leña, y dos cabezas de cerda en montanera y rastrojera. Los pretendientes dirigirán sus solicitudes i la justicia de dicha villa, ó á D. Tomas Redondo Rubio. Ensayo de un poema épico á la gloriosa lucha sostenida por la nación española en defensa de su libertad, y por la de su augusto Monarca Fernando vii: un cua derno en 8.° marquida, presentado y dedicado á S. M. por su pensionista D. S. M. Granés. Se hallará e…</t>
  </si>
  <si>
    <t>…y 1 2 ue esta corte*, su dotación son 69 rs., cobrados por meses, 200 rs. para casa, cuatro carros de leña, y dos cabezas en montanera y rastrojera. Las solicitudes se dirigirán á D. Tomas Redondo Rubio. En e! año pasado de 1807 se siguieron autos en la junta del apostadero de Ma nila, en las islas Filipinas, por D. Josef Varela Cagigas y D. Félix Ruiz, vecinos y del comercio de dicha ciudad, y armadores del corsario español la Victoria, con el capitán dinam…</t>
  </si>
  <si>
    <t>Rucker, Manuel</t>
  </si>
  <si>
    <t>Manuel Rucker</t>
  </si>
  <si>
    <t>…y violin ó flauta, todas del caballero Morette: obertura de la ópera bufa española el licenciado Farfulla, música de! mismo, arreglada para forte-piano y violín ad libitum- por el profesor D. Manuel Rucker: seis canciones españolas, con acompañamiento de pianoforte, de dicho Rucker, de dicadas á la Fxcma. Sra. duquesa de Híjar: una grande colección de oberturas, te mas con variaciones y fantasías, dúos y trios para guitarra y violin ó flauta, impre sos en Itali…</t>
  </si>
  <si>
    <t>Ruirnonte, Domingo</t>
  </si>
  <si>
    <t>Domingo Ruirnonte</t>
  </si>
  <si>
    <t>…. Para el de Oviedo en Salamanca. Rector D. Manuel Luciano Alemán. Consiliario i.° D. Manuel Barrio Ayuso. Idem 2.0 D. Antonio González Miranda. Idem 3.0 D. Diego Suarez. Capellán D. Domingo Ruirnonte. En puntual egecucion de estas soberanas resoluciones ha tomado la junta las providencias oportunas para que cuanto antes se realice la apertura de los citados cinco colegios mayores; y se anuncia al público á fin de que los su getos que aspiren á obtener bec…</t>
  </si>
  <si>
    <t>Ruiz</t>
  </si>
  <si>
    <t>…breza, única desgracia, aunque muy sensible, que tuve en todo el ataque ; pero luego que eílos vieron muertos seis de los suyos, á su comandante Flores mal herido, y lo mismo á su capitán Ruiz, se mudaron con la violencia y desorden que acostumbran, dejando dos carabinas regulares, un par de pistolas, un trabu co y una cartuchera, dos caballos ensillados y dos muertos, con otras frio leras que repartí á los mismos realistas, lo que espero tenga vmd…</t>
  </si>
  <si>
    <t>Ruiz, Josef</t>
  </si>
  <si>
    <t>Josef Ruiz</t>
  </si>
  <si>
    <t>…arde de ayer las tropas de Guadalajara, al mando del brigadier D. Pedro Celestino Negrete, se colocaron en un cerro al lado del S. O. de Comanja á tiro corto de canon: que las del coronel D. Josef Ruiz, que vinieron por los altos de Ibarra, tomaron un parapeto avanzado del enemigo en el cerro de las Tablas, que está al N. de Comanja, en cuyo punto dominante de la fortifi-</t>
  </si>
  <si>
    <t>Ruíz, Mariano</t>
  </si>
  <si>
    <t>Mariano Ruíz</t>
  </si>
  <si>
    <t>…Infan te, por el buen desempeño de su examen con respecto al corto tiempo de estudio que ha tenido, le agraciaron con una caja de lapiceros : en la de mú sica instrumental ganaron D. Mariano Ruíz el primer premio, D. Saturio Lindres el segundo, y D. Pedro del Valle el tercero. A cada uno de los pre miados poso el corregidor una medalla de plata con su lema en el anverso alusivo á la atribución ú objeto del arte, yen el reverso las armas de la ciu dad…</t>
  </si>
  <si>
    <t>Ruiz, Pedro</t>
  </si>
  <si>
    <t>Pedro Ruiz</t>
  </si>
  <si>
    <t>…ma provincia, al teniente coronel D. Sebastian Ontiveros, capitán del regimiento provincial de Ciudad-Rodrigo: la ayudantía del cas tillo de la Mota de S. Sebastian de Guipúzcoa á D. Pedro Ruiz, subteniente del regimiento infantería de Asturias: la del de S. Felices, en Castilla la Vieja, á D. Silverio Castro, sargento primero de Reales guardias de infantería Española: la segunda de la plaza de Santoña á D. Andrés Reyes, subteniente del regimiento d…</t>
  </si>
  <si>
    <t>Ruiz, Simón</t>
  </si>
  <si>
    <t>Simón Ruiz</t>
  </si>
  <si>
    <t>…nante por las dos terceras partes del precio de la citada retasa con varias condiciones. Quien qui siere hacer mejora acuda ante dicho señor juez por la escribanía de provincia de D. Simón Ruiz. Hn virtud de providencia de 20 del corriente del Sr. D. Josef Salvador López del Pan , del Consejo de S. M., alcalde de casa y corte, refrendada del escribano de provincia D. Luis López de Castro, se cita, llama y emplaza por segundo tér mino de 20 dias, con…</t>
  </si>
  <si>
    <t>Rulz, Juan Antonio</t>
  </si>
  <si>
    <t>Juan Antonio Rulz</t>
  </si>
  <si>
    <t>…n sus respectivos documentos. Se desea saber el paradero ó existencia de D. Josef Ximenez y D. Alberto Moreno, que ríígeron ser vecinos de la ciudad de Córdoba, como también el de D. Juan Antonio Rulz, que este en el año de 1809 residía en la ciudad de Murcia. La persona que lo supiere dará la noticia á D. Francisco Vitini Villamarin, oficial en la principal de correos de Cádiz, quien dará á dicha persona bajo la correspon diente certeza 6S&gt; rs, vn. Los an…</t>
  </si>
  <si>
    <t>Ruppin</t>
  </si>
  <si>
    <t>974</t>
  </si>
  <si>
    <t>…. Van acompañándole en su coche dos sargentos de este egército. Se espera aqui de dia en dia á S. M. el Rey de Prusia de vuelta de París. Este Monarca , que viaja ton el título de conde Ruppin, se detendrá poco én Brusélas, y volverá á sus estados por el camino de Aquisgran y de Co lonia. GRAN BRETAÑA. Londres i£ de Agosto. Las últimas cartas recibidas por el paquebote del Brasil, que alcanzan has-</t>
  </si>
  <si>
    <t>1046</t>
  </si>
  <si>
    <t>…s proyectos. PAISES - BAJOS-UNIDOS. Brusélas 8 de Setiembre. Ayer asistió al. teatro de la ópera toda la familia Real en compañía del ilustre extrangero que viaja con el nombre de conde Ruppin y su augusto</t>
  </si>
  <si>
    <t>Rusia, Nicolás de</t>
  </si>
  <si>
    <t>Nicolás de Rusia</t>
  </si>
  <si>
    <t>…de los víveres es excesiva en la colonia de la Nueva-Gales meridional. De la colonia salen frecuentes expediciones á las islas del Océano grande á la pesca de la ballena. El gran duque Nicolás de Rusia ha sido recibido en todas las provincias de Inglaterra con las demostraciones del mas afectuoso respeto; y S. A. I. por su parte hadado testimonios públicos de su consideración á In nación inglesa y á la augusta casa de Brunswick. El general Bloonifield, caba…</t>
  </si>
  <si>
    <t>…o de este privilegio , ha sido desatendida por S. M., como contraria al sistema de unidad que el Gobierno quiere establecer entre todos sus vasallos. Se sabe de cierto que el gran duque Nicolás de Rusia no vendrá á Berlín hasta.fines de este mes. Aun no está fijado el tiempo de su matrimonio con la Princesa Carlota de Prusia. Son muy frecuentes los correos que van y vienen á Petersburgo, y cada día se estrechan mas los vínculos que unen á los dos Gabinetes.…</t>
  </si>
  <si>
    <t>…s á la princesa Real de Suecia por escritura otorgada en 16 de Julio de 1814. Escriben de Berlín, con fecha de 10 de este mes, que la princes 1 Car lota de Prusia, esposa del gran duque Nicolás de Rusia, saldría el 12 para Petersburgo. Las cartas de Berlín dicen que los literatos leen con grande ínteres la his toria de la campaña de los aliados en 1815, impresa en Gotha, que se atri buye al general Mufflings, y la cual ha sido muy bien recibida, porque ex pl…</t>
  </si>
  <si>
    <t>S, Nuncio de S.</t>
  </si>
  <si>
    <t>Nuncio de S. S</t>
  </si>
  <si>
    <t>…sia, donde se formó el capítulo, que constaba de 84 caballeros de la Real y militar orden de S. Fernando: se celebró una solemne misa, en la que ofició de pontifical el Emo. Señor cardenal Nuncio de S. S., con asistencia de la música de la capilla Real, con curriendo el Emo. Sr. cardenal patriarca de las Indias para las ceremonias que le correspondían, y se pronunció por Fr. Miguel Huerta, religioso del orden de S. Agustín, y predicador de S. M., un sermón tan…</t>
  </si>
  <si>
    <t>Sacristán, Ruperto</t>
  </si>
  <si>
    <t>Ruperto Sacristán</t>
  </si>
  <si>
    <t>…e que se distribuyan justamente los premios de emulación. Por resultado de estos antecedentes ha tenido á bien la junta adjudicar los tres primeros premios de 5 5 pesos cada uno á D. Ruperto Sacristán, Don Francisco Sola y D. Nicasio Martin; y los tres segundos de 35 pesos á Don Francisco Ceferino de Ulacia, D. Gerónimo Rivas y D. Manuel Burrieza. Y teniendo en consideración que D. Antonio Salcedo, D- Juan Guerra y Don Pedro González Perez han igualado en…</t>
  </si>
  <si>
    <t>Saez, Josef Antonio</t>
  </si>
  <si>
    <t>Josef Antonio Saez</t>
  </si>
  <si>
    <t>…a época, se suplica á la persona que Ja tenga de su existencia ó fallecimiento se sirva comunicarla á Valentín Eusebio Carabaño, alcalde decano de la referida villa, y en Madrid á D. Josef Antonio Saez, agente de negocios de las Reales Consejos, calle del Arenal, frente á la plazuela de Ceienque. Los suscríptores á la obra titulada Agronomía, ó Diccionario manual del la brador, escrita en francés, y traducida al castellano por D. Pedro Charro de Lorenzana,…</t>
  </si>
  <si>
    <t>Saez, Víctor Damiah</t>
  </si>
  <si>
    <t>Víctor Damiah Saez</t>
  </si>
  <si>
    <t>…o al méritoj las cuales se entregaron á los premiados en medio de la aclamación universal y del sonido armonioso de una música escogida. Hecho esto, el director del cuerpo el Dr.' D. Víctor Damiah Saez , ca nónigo lectoral de esta santa iglesia primada, pronunció un elocuente discur so, manifestando la necesidad de la educación pública, con lo que se dió fin al acto. Merece particular mención la generosidad del Sr. conde de Noblejas,que conmovido á vista de…</t>
  </si>
  <si>
    <t>Safesa, Gaspar</t>
  </si>
  <si>
    <t>Gaspar Safesa</t>
  </si>
  <si>
    <t>…la sala de arquitectura: en la del modelo, por lo tocante á escultura , se confirió á D. Matías Ayardi; y en la parte de dibujo á D. Toribio Lahoz: en la de academias de figuras á D. Gaspar Safesa , en la de cabezas á D. Lorenzo Viscasillas, en la de prin cipios á D. Eduardo Vicente. Todos se presentaron á recibirlos de mano del vice-presidente D. Josef Sobrevia en la junta ordinaria de 6 del corrien te, quien les hizo un breve y expresivo discurso par…</t>
  </si>
  <si>
    <t>Sagarriga, Josef Antonio</t>
  </si>
  <si>
    <t>Josef Antonio Sagarriga</t>
  </si>
  <si>
    <t>…S. M. y Sres. del Consejo. Don Fernando vii, por la gracia de Dios Rey de Castilla., de León, de Aragón &amp;c. &amp;c. &amp;c. A los del mi Consejo, Presidentes, Regentes &amp;c., sabed: Qae por D. Josef Antonio Sagarriga, juez eclesiástico de Competen cias de jurisdicción del mi principado de Cataluña , se hizo á ini Real Perso na una representación en io de Setiembre de 1814 , solicitando el restableci miento de aquel juzgado (abolido por decreto de las llamadas cortes ex tr…</t>
  </si>
  <si>
    <t>Saiazar, Antonio López</t>
  </si>
  <si>
    <t>Antonio López Saiazar</t>
  </si>
  <si>
    <t>…un mercado todos los viernes de cada semana. El Sr. D. Joaquin de Almazan , del Consejo de S. M., teniente primero de cor regidor de esta villa, y por la escribanía del número de D. Antonio López Saiazar, ha señalado para la celebración de junta general de acreedores á la casa de D, Pe dro María Daudinot y compañía el dia 1 2 de Octubre próximo á las nueve de su mañana en Ja posada de S. S.: lo que se hace saber para que por sí ó persona que íes represente co…</t>
  </si>
  <si>
    <t>Saiazar, Antonio López de</t>
  </si>
  <si>
    <t>Antonio López de Saiazar</t>
  </si>
  <si>
    <t>…contados desde el 14 de este mes, comparezcan por sí ó por medio de sus apoderados con poder bastante á usar de su derecho ante dicho señor juez, y por la escribanía del número de D. Antonio López de Saiazar; con apercibimiento que pasado sin haberlo hecho les parará el perjuicio que haya lugar, y se procederá á lo que corresponda. A virtud de providencia del Sr. D. Joaquín Almazan y Ximeno, del Consejo de S. M. , primer teniente de corregidor de esta muy heroica…</t>
  </si>
  <si>
    <t>Saint-Leger</t>
  </si>
  <si>
    <t>…que puedan hacerse en el extrangero. Los verdaderos almace nes están en los graneros de los labradores. El 21 de Octubre ultimo volvían de Versailles en un carruage alquila do el general Saint-Leger, caballero de S. Luis, los Sres. Francy, Colomb, y un tal Germain. Este último, hablando de asuntos políticos , dijo que si to dos los franceses hubieran desempeñado como él su deber en Waterloo, no hubieran entrado los extrangeros triunfantes en París. Dicho…</t>
  </si>
  <si>
    <t>Saiz, Nicolás</t>
  </si>
  <si>
    <t>Nicolás Saiz</t>
  </si>
  <si>
    <t>…Patino, subteniente gradua do de infantería: la segunda de la de Cuba á D. Josef Leite Vidal, soldado distinguido de infantería; y la capitanía de llaves de la de Santo Domingo á D. Nicolás Saiz, sargento primero del cuerpo veterano de la misma. En atención al mérito y particulares servicios de D. Vicente Sisternes y Feliú, caballero supernumerario de la Real distinguida orden española de Carlos ni, se ha dignado el Rey hacerle merced de la cruz de n…</t>
  </si>
  <si>
    <t>Sal, Genaro</t>
  </si>
  <si>
    <t>Genaro Sal</t>
  </si>
  <si>
    <t>…, D. Agustín Bermejo, D. Tomas Perez, D. Blas Cadenas, Don Juan García, D. Manuel Ribera, D. Máximo y D. Joaquín Vargas, Don Felipe Crespo, D. Francisco Canillas, D. Pedro Miguel, D. Genaro Sal gado, D. Cándido de la Fuente , D. Josef García Vázquez , D. Aquilino Lu nar, D. Pedro Gómez, D. Celedonio Casado, D. Vicente Berdion , Don Joa quín Lumeras, D. Tomas Asensio, D. Mateo Rodriguez, D. Valentín Ga veta, D. Pedro Martin, D. Antonio Fernandez, D.…</t>
  </si>
  <si>
    <t>Sala, Juan Antonio</t>
  </si>
  <si>
    <t>Juan Antonio Sala</t>
  </si>
  <si>
    <t>…niente de mi licias regladas D. Lorenzo Velero, administrador de justicia de este partido, el señor cura D. Bernardino Lugo, que al efecto se le pasó oficio de ruego y encargo, el diputado D. Juan Antonio Sala, teniente de la compañía de realistas fieles del mismo partido, que hace de síndico, y el capitán retirado D. Josef Antonio Quintero, y el capitán comandante de las armas D. An tonio de Alias y Franco, á quienes el. público nombró el dia de ayer, des pués de…</t>
  </si>
  <si>
    <t>Sala, Juan Eugenio García de</t>
  </si>
  <si>
    <t>Juan Eugenio García de Sala</t>
  </si>
  <si>
    <t>…obligación de visitar á los pobres gratuitamente, pues los demas pagan por cada visita de dia un real, y dos por las hechas de noche. Los pretendientes dirigirán sus memoriales á D. Juan Eugenio García de Sala, regidor del ayuntamiento de dicha villa; es pueblo abundante y ba rato, y su población se compone de mas de id vecinos. Tratado de la administración de los Reales derechos de alcabalas, cientos y mi llones que se causan en la fábrica, venta y consumo de jabó…</t>
  </si>
  <si>
    <t>Salas, Esteban Rodríguez y</t>
  </si>
  <si>
    <t>Esteban Rodríguez y Salas</t>
  </si>
  <si>
    <t>n6j Cuenca: á D. Esteban Rodríguez y Salas, canónigo de la de Málaga; y á D. Manuel Fernandez Varela, deán de la de Lugo. Honores de conjueces del tribunal apostólico y Real de la gracia del Ex cusado á D. Mateo Jara , canónigo tesorero de la santa iglesia catedral de Co ria : á D. Francisco Amar, can…</t>
  </si>
  <si>
    <t>Salas, Josef de</t>
  </si>
  <si>
    <t>Josef de Salas</t>
  </si>
  <si>
    <t>…sen en los dominios de América ó países extrangeros. Dios guarde á V. muchos años. Madrid i.° de Mayo de 1817. Con fecha 17 de Setiembre de 1816 ha comunicado el capitán de Navio D. Josef de Salas al señor secretario de Estado y del Despacho universal de Marina lo que sigue: „D. Mariano Font, capitán y piloto de la goleta mercante la Mariana, que salid de Málaga el 29 de Enero de dicho año con destino á la Guayana, en la madrugada del 11 al 12 de Marzo…</t>
  </si>
  <si>
    <t>Salazar, Antonio López</t>
  </si>
  <si>
    <t>Antonio López Salazar</t>
  </si>
  <si>
    <t>…ministraciones principales y agregadas de correos. El Sr. D, León de la Cámara Cano, del Consejo de S. M., teniente primero de corregidor de esta villa, y escribanía del número de D. Antonio López Salazar, ha señalado para nueva junta de acreedores á la casa titulada yjiuda de Atienza é hijos y D. Juan Bautista Azpiroz el dia 17 de Agosto próximo á las 8 en punto de su mañana en su posada. Lo qíie se hace saber para que por sí, ó persona que Ies re presente co…</t>
  </si>
  <si>
    <t>Salazar, Antonio López de</t>
  </si>
  <si>
    <t>Antonio López de Salazar</t>
  </si>
  <si>
    <t>…del egército del centro. Por providencia del Sr. D. Joaquín Almazan, del Consejo de S. M., teniente corregidor de esta villa, su fecha 15 del corriente, y escribanía del número de Don Antonio López de Salazar, se cita, llama y emplaza á los acreedores á la testamen taría de Doña María Antonia Fernandez para que en el preciso y perentorio térmi no de 20 dias acudan ante dicho señor juez, por sí ó por medio de apoderados, á</t>
  </si>
  <si>
    <t>…yor de esta corte, núm. 6 , manzana 387, con 6495 pies de sitio , tasada en 671565 rs. vn. Quien quisiere hacer postura acuda ante dicho se ñor juez por la escribanía de número de D. Antonio López de Salazar, que se ad mitirán siempre que cubran las dos terceras partes de su tasación á metálico. A virtud de despacho del Sr. D. Luis Manes,del Consejo de S.M., alcalde del crimen de la Real audiencia de Valencia, juez interventor nombrado por S. M. de los estados, b…</t>
  </si>
  <si>
    <t>…. León de la Cámara Cano, del Consejo de S. M., teniente primero de corregidor de esta vi lla. Quien quisiere hacer mejora acuda ante dicho señor juez, y escribanía del nú mero de D. Antonio López de Salazar. Por auto proveído por el Sr. D. León de la Cámara Cano, del Consejo de S. M. en el supremo de Hacienda, teniente corregidor de esta heroica villa, de 16 del pa sado, á consecuencia de lo acordado en junta dei mismo dia por los acreedores del concurso de Migu…</t>
  </si>
  <si>
    <t>…o que de no egecutarlo le parará el perjuicio que haya lugar. El Sr. D. Joaquín Almazan, del Consejo de S. M., teniente corregidor de esta villa, y por la escribanía del número de D. Antonio López de Salazar, ha señala do para la celebración de junta general de acreedores á la casa de giro, titulada en esta corte D. Patricio Joyes é hijos, el dia 8 de Junio próximo á las 9 de su mañana en una de las salas consistoriales del Excmo. ayuntamiento de esta capital; lo…</t>
  </si>
  <si>
    <t>…sada en 84167 rs. vn., que unidos ambos valores componen la cantidad de 198535 rs. vn. Quien quisiere hacer postura acuda ante dicho señor juez , y por la escribanía del número de D. Antonio López de Salazar, que se admitirán siendo arregladas. Quien quisiese tomar en arrendamiento un pedazo de tierra de 683 fanegas, 6 celemines y 9 estadales de marco de 400, con una casa para ganado de labor, lla mada la Faisanera vieja, todo dentro de las tapias de la Real casa…</t>
  </si>
  <si>
    <t>…io 23242 pies cuadrados superficiales, y se halla tasada en la cantidad de 294277 rs. vn. Quien quisiere hacer postura acuda ante dicho señor juez por la es cribanía del número de D. Antonio López de Salazar, que se admitirán siendo ar regladas. En virtud de providencia del Sr. D. Joaquín de Almazatt y Ximeno, del Con sejo de S. M., teniente de corregidor de esta heroica villa de Madrid, su tierra y Jurisdicción, se han mandado sacar á pública subasta por término…</t>
  </si>
  <si>
    <t>…iales, y tasada en 84167 rs. vn., que unidos ambos valores componen la cantidad de 198535 rs. vn. Quien quisiere hacer postura acuda ante di cho señor juez, y por la escribanía de D. Antonio López de Salazar, que se admi tirá siendo arreglada. Se desea saber el paradero de Doña Ernesta Kjnkens, viuda de D. Ramón Mas, armero de una de los batallones de Voluntarios de Barcelona , que pasó al Norte con el Excmo. Sr. marques de la Romana, para comunicarla un asunto q…</t>
  </si>
  <si>
    <t>…Ja plaza de la ciudad de la Havana, para que en el término de 30 dias acu dan á deducirle al juzgado de S. S. con las justificaciones correspondientes, y escri banía del número de D. Antonio López de Salazar; con prevención que pasado di cho término, sin mas citarles ni emplazarles, se procederá á la declaración de herede ros y á lo demas que corresponda. Se halla vacante la plaza de médico titular de la villa y puerto de Gijon, en Asturias, cuya dotación son 600…</t>
  </si>
  <si>
    <t>Salazar, Henrique</t>
  </si>
  <si>
    <t>Henrique Salazar</t>
  </si>
  <si>
    <t>…. Floren tino de T&lt; rre : en la de medianos D. Hilarión Barrenengoa el segundo, y en la de mi ñores D. Manuel Ordazgasti el tercero: en la de álgebra D. Juan Fuertes el primero, y D. Henrique Salazar el segundo: en la de aritmética el tercero D. Manuel Velasco : en la de dibujo y arquitectura D. Benito Campo el primero, D. Ramón Garrido el segundo, y D. Amtonio Msnglano el tercero; y á Lorenzo lbañez, cabo del regimiento de caballería del Infan te, por el…</t>
  </si>
  <si>
    <t>Salcedo, Antonio</t>
  </si>
  <si>
    <t>Antonio Salcedo</t>
  </si>
  <si>
    <t>…Don Francisco Sola y D. Nicasio Martin; y los tres segundos de 35 pesos á Don Francisco Ceferino de Ulacia, D. Gerónimo Rivas y D. Manuel Burrieza. Y teniendo en consideración que D. Antonio Salcedo, D- Juan Guerra y Don Pedro González Perez han igualado en el mérito de la oposición á los últi mos premiados, ha agraciado á cada uno de dichos alumnos con una caja de instrumentos de disección, y una obra de cirugía, como una prueba evidente de su aplicació…</t>
  </si>
  <si>
    <t>Salcedo, Ramón Falcon y</t>
  </si>
  <si>
    <t>Ramón Falcon y Salcedo</t>
  </si>
  <si>
    <t>…0 de Mayo para los exámenes de los niños, y el 2 de Junio para los de las niñas, no pudiendo ser el de estas el 31 de aquel por estar ocupado en celebrar órdenes el Excmo. é limo. Sr. D. Ramón Falcon y Salcedo, obispo de esta dióce sis , caballero gran cruz de la orden española de Carlos 111, director de la misma Real sociedad, que manifestó el dulce placer que tendría de asistir á ellos ; y se adornó la sala mayor destinada á la enseñanza, autorizándola con el ret…</t>
  </si>
  <si>
    <t>Salesa, Buenaventura</t>
  </si>
  <si>
    <t>Buenaventura Salesa</t>
  </si>
  <si>
    <t>…ropósito, en tamaño de papel de holanda, y para el segundo deli near el capitel jónico de ángulo con cornisamento según Vignola; el pintor de cámara de S. M. y director de pintura D. Buenaventura Salesa destinó para modelar y dibujar la estatua del Apolino, y varías figuras y cabezas de academias, y el director académico de mérito en el ramo de escultura Doa Tomas Llovet lo hizo de otras academias de principios.</t>
  </si>
  <si>
    <t>Salinas, Benito</t>
  </si>
  <si>
    <t>Benito Salinas</t>
  </si>
  <si>
    <t>…D. Mariano Gabanaeh, teniente dei regimiento de infantería del Príncipe. También se ha dignado S. M. conceder el empleo de auditor de guerra de la provincia de Castilla la Nueva á D. Benito Salinas, que servia igual empleo en la de Castilla la Vieja; la plaza que queda vacante por esta razón á D. Antonio Valenzuela, que ocupaba la de Ceuta, y para llenar la que tam bién resulta vacante en el reino de Aragón por jubilación de D. Josef de la Cantolla se h…</t>
  </si>
  <si>
    <t>…7.0 Que el remate del almanak ha de celebrarse el dia 8 de este mes á las 32 de su mañana en la auditoría de guerra de esta plaza, calle del Príncipe, á presencia del Sr. auditor D. Benito Salinas, comisionado por mí para el tfecto ; en la inteligencia que desde hoy se admitirán las posturas que se hi ciesen siendo arregladas á lo anteriormente prevenido , y deberán egecutarse por mano de D. Custodio Enriquez, escribano principal de este juzgado mi lit…</t>
  </si>
  <si>
    <t>Salinas, Francisca Rita</t>
  </si>
  <si>
    <t>Francisca Rita Salinas</t>
  </si>
  <si>
    <t>…ones á una de las huérfanas de los militares ó patriotas que hubieren muerto en defensa de la justa causa de la nación, ha cabido en suerte del primer extracto de la de este dia á Doña Francisca Rita Salinas, comprendida en los víctimas del Dos de Mayo en Madrid. ARTICULO DK OFICIO. El Rey nuestro Señor se ha servido admitir con agrado la siguiente ex posición: „Señor: El síndico personero y procurador general de la ciudad de Má laga eleva á V. M. con el mayor re…</t>
  </si>
  <si>
    <t>Salva, Josef</t>
  </si>
  <si>
    <t>Josef Salva</t>
  </si>
  <si>
    <t>…que fenecerán en 7 de Octubre próximo.. Por providencia de 25 del corriente del Sr. D Josef María Puente, del Conse jo de S. M., alcalde de casa y corte, que por indisposición del Sr. D. Josef Salva dor López del Pan, también alcalde de casa y corte, despacha su audiencia, y re frendada del escribano de provincia y comisiones de la misma D. Luis López de Castro, se cita, llama y emplaza por tercero y último término de ro dias, conta dos desde su publicac…</t>
  </si>
  <si>
    <t>Samaniego, Saturnino</t>
  </si>
  <si>
    <t>Saturnino Samaniego</t>
  </si>
  <si>
    <t>…haberse apoderado en el mismo dia de las islas grande y chica de Mexcala, en la laguna de Chapala, con 17 piezas de artillería y todo cuanto tenían allí los rebeldes. El teniente coronel D. Saturnino Samaniego, comandante de la sección de Huajuapan , batió el 24 del mismo Noviembre á los rebeldes mandados por Manuel Teran en el punto de la Noria, quitándoles un cañón de á 4 con otras varias armas, y causándoles mucha pérdida en gente y bagages. Con fecha de 27 del…</t>
  </si>
  <si>
    <t>…no ha dirigido al Excmo. Sr. virey los siguientes partes: i.° Excmo. Sr.: Original acompaño á V. E. para su superior conoci miento el parte que me remite desde Piastla el teniente coronel D. Saturnino Samaniego, relativo á los movimientos que de su orden hizo sobre los rebel des hacia Sta. Gertrudis y Chazumba el ayudante de su regimiento D. An tonio López,y sus buenos resultados, por lo cual recomiendo á V. E. á este oficiaí y tropa que le acompañó, igualmente que…</t>
  </si>
  <si>
    <t>…maniego. = Sr. general en gefe del egército D. Ciríaco de Llano. P. D. Incluyo á V. S. el adjunto que he recibido hoy del comandante militar de Oajaca. 2.0 Excmo. Sr.: El teniente coronel D. Saturnino Samaniego me remite el parte que original acompaño á V. E. para su superior conocimiento, y es contraído á la fuga de los rebeldes de la fortificación de Piastla, recomen dando á V. E. las fatigas de las tropas del mando de dicho gefe y del de igual graduación D. Félix…</t>
  </si>
  <si>
    <t>…de Apodaca ’’ 3.0 D I brigadier D. Ciríaco de Llano. ,,Excmo. Sr.: Es adjunto para el superior conocimiento de V. E. el parte original que me han remitido los tenientes coroneles D. Saturnino Samaniego y D. Félix de la Madrid, relativo á la toma del fuerte enemigo deXonacat— Jan por las armas del Rey nuestro Señor, y el misino ayudante D. Antonio López, enviado por Jos tenientes coroneles , que lo conduce, enterará á V. E. verbalmente de cuanto expresan estos gefes, m…</t>
  </si>
  <si>
    <t>…el brigadier JD. Ciríaco de Llano, „Excmo. Sr.: Remito á V. E. original para su superior conocimiento el parte que me ha dirigido con fecha 2 del corriente número 516 el tenien te coronel D. Saturnino Samaniego, relativo á las acciones sostenidas por las tropas de su cargo á las inmediaciones de los fortines enemigos de Jonacat lan, recomendando yo á V. E. las disposiciones de dicho gefe y el valor de sus súbditos, y con especialidad á los tres individuos que él mis…</t>
  </si>
  <si>
    <t>Samano</t>
  </si>
  <si>
    <t>…pie de la cordillera con destino á recorrer los llanos de S. Martin y Cacanare, y vigilar las orillas del Meta, abriendo la comunicación con la tercera división á las órdenes del brigadier Samano, que se halla en el reino, y poniendo expedita la correspondencia en las vastas llanuras que median desde el Casanare hasta el Araucay el Apure. He hecho á E. esta larga narración para que tenga idea de mi marcha desde el nuevo reino de Granada, con la multit…</t>
  </si>
  <si>
    <t>Samartin, Francisco</t>
  </si>
  <si>
    <t>Francisco Samartin</t>
  </si>
  <si>
    <t>…irias Don Cayetano Blanco Casariego para las Caldas de Oviedo ó de Priorio: en el reino de Jaén D. Vicente Orti y Criado, médico de la villa de Castro del Rio, para el Marmolejo : D. Francisco Samartin, médico de número de egército, para la Elísea ó Aliseda : en el reino de Granada D. Francisco Gar cía Malo, establecido en la ciudad de Valencia, para Graena: D. Diego Rodénas, médico titular de la ciudad de Aljama, para los baños de este mismo nombre y puebl…</t>
  </si>
  <si>
    <t>Sample, Ensebio María</t>
  </si>
  <si>
    <t>Ensebio María Sample</t>
  </si>
  <si>
    <t>977 el día 13 del mes próximo pasado bajo la presidencia del alcalde m3ycr Don Ensebio María Sample 100 niños, que divididos en tres clases dieron mues tras de una instrucción poco común, atendida su edad y el tiempo que te nían de enseñanza. Los mas adelantados, ademas de haber manifestado estar perfectamente instruidos en el catecismo ó historia de la Rel…</t>
  </si>
  <si>
    <t>San</t>
  </si>
  <si>
    <t>…odas en 25057 idem. Las personas que quisiesen hacer postura á cualquiera de dichas fincas, sea á vales Reales ó á efectivo, ó bien á efectivo y vales, acudirán á la escribanía de D. San tiago de Estepar. Por providencia del Sr. D. Josef Salvador López del Pan, del Consejo de S. M., alcalde de casa y corte, dada en 4 del corriente mes y año, y refrendada por el es cribano de provincia y comisiones de la misma D. Luis López de Castro , se cita…</t>
  </si>
  <si>
    <t>Sánchez, Esteban</t>
  </si>
  <si>
    <t>Esteban Sánchez</t>
  </si>
  <si>
    <t>…FICIO. El Rey nuestro Señor se ha dignado admitir la siguiente felicitación del alcalde mayor y partido de la villa deCuriel, en la provincia de Valladolid. ,,Señor: El licenciado D. Esteban Sánchez de la Iglesia, abogado de los Reales Consejos, y vuestro alcalde mayor en la villa de Curiel y su partido, en la provincia de Valladolid, se llega á besar los Reales pies de V. M. en nombre de dicha villa con aquel respeto debido á la Magestad del trono, y el…</t>
  </si>
  <si>
    <t>Sánchez, Francisco Rodríguez</t>
  </si>
  <si>
    <t>Francisco Rodríguez Sánchez</t>
  </si>
  <si>
    <t>…an de Dios Guer rero, y á los ayudantes por el zeloy exactitud con que desempeña cada uno sus deberes. Los jovenes que sobresalieron en todos Tos ramos fueron D. Demetrio Vasconi, D. Francisco Rodríguez Sánchez, D. Mariano Guerrero, D. Josef Vega Serien, D. Francisco Cívico , D. Salvador Mifsud, D. Manuel Gimé nez y D. Diego Meras. Madrid 21 de Febrero» El dia 19 del. pasado tuvo la honra de besar la Real mano de S. M. una diputación de la suprema asamblea de la Rea…</t>
  </si>
  <si>
    <t>Sánchez, Gerónimo Diego</t>
  </si>
  <si>
    <t>Gerónimo Diego Sánchez</t>
  </si>
  <si>
    <t>…e á las justicias de los pueblos de su distrito ; dándome aviso d#l recibo para noticia del Consejo. Madrid 8 de Julio de 1817. El Rey nuestro Señor ha concedido su Real permiso á D. Gerónimo Diego Sánchez para que pueda usar de la condecoración de la flor de Lis coa que S. M. Cristianísima ha premiado su constante amor y adhesión á la au gusta casa de los Bortones.</t>
  </si>
  <si>
    <t>Sánchez, Gregorio</t>
  </si>
  <si>
    <t>Gregorio Sánchez</t>
  </si>
  <si>
    <t>205577» 2o8/42 t 112*73* D* Josef de Trasvina, D. Gregorio Sánchez, viuda de ísern é hijo, D. Pedro de Castro, Sres. Lavin y hermano, D. Manuel Ramón de Viilachica, D. Manuel Francisco Aguirre é hijos, D. Vicente Carrasco y Fominaya, Doña Clara Ambite, Juan Antonio Morera, D. Josef Sala y Cam, D. Ig nacio de Arellana, D. Fra…</t>
  </si>
  <si>
    <t>Sánchez, Inocencio</t>
  </si>
  <si>
    <t>Inocencio Sánchez</t>
  </si>
  <si>
    <t>…los, siendo los que resultan de autos D. Manuel Royales , D. Pedro Martínez Retuerta, D. Francisco y D. Josef de Arratia, D. Manuel Segundo Martinez, D. Pedro del Rio, la viuda de D. Inocencio Sánchez, D. Manuel López de Rivas, D. Josef An gel de Santelices, Facundo Calleja, Juan Mejorada, Pedro de la Peña, Santiago Vallalado , D. Juan Miguel Alcalá, D. Francisco García de la Penilla, Juan Fer nandez, Baltasar Puebla , D. Dionisio Perez Guerra, Sebastian B…</t>
  </si>
  <si>
    <t>Sánchez, Mariana</t>
  </si>
  <si>
    <t>Mariana Sánchez</t>
  </si>
  <si>
    <t>…r la escribanía del nú mero que egerce D. Juan Raya; y está señalado para su remate el dia 21 del cor riente en la audiencia de dicho señor i las 12. Se desea saber el paradero de Doña Mariana Sánchez, hija de D. Antonio y de Doña María Magdalena Monteagut, difuntos, que se ausentó de Barcelona el año de 1809 ; en el de 1812 y j 3 se hallaba en Madrid, y á mediados del de 1814 en Tarragona. Se suplica á quien sepa de su existencia tenga la bondad de avisar…</t>
  </si>
  <si>
    <t>Sánchez, Sebastian de Frías</t>
  </si>
  <si>
    <t>Sebastian de Frías Sánchez</t>
  </si>
  <si>
    <t>…DE OFICIO. En atención al zelo que ha acreditado por el mejor servicio del Rey nuestro Señor y de la causa pública el regente de la jurisdicción de la villa de Elche de la Sierra D. Sebastian de Frías Sánchez en haber conseguido exterminar una cuadrilla de cinco malhechores, con muerte de uno de ellos y prisión de los cuatro restantes; se ha servido mandar S. M. por el minis terio de Gracia y Justicia que se le dea gracias en su Real nombre, y que el comandante qu…</t>
  </si>
  <si>
    <t>Sancho</t>
  </si>
  <si>
    <t>…prender en la contribución general del reino los bienes de la Iglesia, dan una prueba nada equívoca de lo presente que tiene V. M. el egemplo de sus predecesores los Señores Reyes D. Sancho m con Inocencio 111, Fernando ni con Gregorio x , Fernando iv con Juan xxii, Alonso xi con Urbano v, Juan 11 con Calixto 111, Henrique iv con Sixto iv, Fernando vi con Benedicto xiv, y los augustos Pa dre y Abuelo de V. M, con Clemente xiv , Pió vi y el actua…</t>
  </si>
  <si>
    <t>Sancho, Josef Urbano</t>
  </si>
  <si>
    <t>Josef Urbano Sancho</t>
  </si>
  <si>
    <t>…. Mariano Beaumont y Bretón: para la dé Mombeltran á D. Diego Cisneros Valencia: para la de Villanueva del Fres no á D. Lucas Vázquez Garcés: para la de Monremayor, en Castilla, á D. Josef Urbano Sancho; y para la de Bodonal á D. Josef de Acha. El Rey nuestro Señor se ha servido conceder á D. Josef Luaces y Pru no, maestrante de Ronda, su Real permiso para que pueda usar de la con decoración de la Vandé con que se ha servido honrarle S. M. Cristianísima. Asi…</t>
  </si>
  <si>
    <t>Sandoval, Ignacio</t>
  </si>
  <si>
    <t>Ignacio Sandoval</t>
  </si>
  <si>
    <t>…an de mi cargo desde i.° de Febrero de 18 ij. „Dr. D. Josef María Cos, que se titulaba teniente general de la provin cia de Mechoacan, y vocal de la llamada junta de los rebeldes; D. Ignacio Sandoval, titulado teniente coronel de la gavilla de Rayón ; D. Éstéban Bar bero, capitán de la misma; D. Cayetano Ibarra, secretario de Rayón; Don Cayetano Guerrero, teniente coronel; Francisco Hernández ,soldado; Josef María Talavera, idern; Josef Rafael Huerta, alf…</t>
  </si>
  <si>
    <t>Sandoval, Josef María</t>
  </si>
  <si>
    <t>Josef María Sandoval</t>
  </si>
  <si>
    <t>…Román Sandoval, que mu rió de resultas de los malos tratamientos que sufrió de los enemigos en la úl tima guerra, se ha servido S. M., á consulta de la Cámara, conceder á su hijo D. Josef María Sandoval título de Castilla, con la denominación de mar ques de Casa-Pacheco, para sí, sus hijos y sucesores. De resultas de haber excitado la notoria caridad y zelo por el bien deí Estado y servicio de S. M. de los M. RR.‘ obispos de Granada, Cartagena y Málaga para…</t>
  </si>
  <si>
    <t>Sandoval, Román</t>
  </si>
  <si>
    <t>Román Sandoval</t>
  </si>
  <si>
    <t>…a invasión de esta península por las tro pas francesas, á consulta del Consejo, se ha dignado S. M. concederle trata miento de excelencia. En atención á los méritos y servicios de D. Román Sandoval, que mu rió de resultas de los malos tratamientos que sufrió de los enemigos en la úl tima guerra, se ha servido S. M., á consulta de la Cámara, conceder á su hijo D. Josef María Sandoval título de Castilla, con la denominación de mar ques de Casa-Pacheco, pa…</t>
  </si>
  <si>
    <t>Sanguinete, Juan Bautista</t>
  </si>
  <si>
    <t>Juan Bautista Sanguinete</t>
  </si>
  <si>
    <t>…s, de cabo subalterno de las provincias de Venezuela y de comandante del ba tallón veterano de la capital al Brigadier D. Josef Vázquez: la ayudantía mayor de la plaza de Panamá á D. Juan Bautista Sanguinete, capitán de llaves de la misma: la de la de S. Agustín de la Florida á D. Eusebio Caro, teniente de la plana mayor de blancos, agregado al cuerpo de pardos: la se gunda de la de Puerto-Rico á D. Josef Mariano Patino, subteniente gradua do de infantería: la se…</t>
  </si>
  <si>
    <t>Sanjuanena</t>
  </si>
  <si>
    <t>…a dispuse que el intré pido gefe del estado mayor general saliese con los restos del escuadrón de mi guardia y el de la Union, 50 hombres de infantería y municiones á socor rer al capitán Sanjuanena, á cuya llegada fuerori inmediatamente derrotados, dispersados y perseguidos por espacio de tres leguas; pero habiendo venido la noche determinó dicho gefe retirarse á esta con la caballería, disponiendo que la infantería pasase á situarse en la casa de los A…</t>
  </si>
  <si>
    <t>Sanjurjo, Benito</t>
  </si>
  <si>
    <t>Benito Sanjurjo</t>
  </si>
  <si>
    <t>…Extremadura D. Josef Alegre Galan, médico titular de la villa de Campa nario, para Alange: D. Francisco Martinez, médico de número del egérciro, para la Fuente de Loro: en Galicia D. Benito Sanjurjo, médico de la ciudad de Orense, para Cortegada: D. Manuel Lasobo Fernandez, médico de Cal das de Reyes, para los baños de este mismo nombre: D. Manuel Domín guez, médico del lugar y monasterio de Santos, para Caldas de Cuntís: Don Pedro Sanjurjo, médico de la…</t>
  </si>
  <si>
    <t>Sanjurjo, Pedro</t>
  </si>
  <si>
    <t>Pedro Sanjurjo</t>
  </si>
  <si>
    <t>…D. Manuel Lasobo Fernandez, médico de Cal das de Reyes, para los baños de este mismo nombre: D. Manuel Domín guez, médico del lugar y monasterio de Santos, para Caldas de Cuntís: Don Pedro Sanjurjo, médico de la ciudad de Tuy, para Caldelas de este nombre: en el reino de Murcia D. Juan Alix, médico titular de la villa de Cieza, para Archena: en Navarra D. Angel Sanz, médico de Cervera del Rio Alama, para Fitero: D. Josef Rodríguez, médico de la villa de…</t>
  </si>
  <si>
    <t>Santana, Francisco</t>
  </si>
  <si>
    <t>Francisco Santana</t>
  </si>
  <si>
    <t>…rventor por la escribanía de provincia de D. Mauricio Justo del Rincón, donde se les manifestará, y admitirán sus posturas siendo arregladas. En junta de acreedores al concurso de D. Francisco Santana, celebrada el dia 17 del pasado ante el Sr. D. León de la Cámara Cano , del Consejo de S. M. en el su premo de Hacienda, teniente primero de corregidor, y corregidor interino de esta muy heroica villa, juez de él, se ha acordado entre otras cosas que los inte…</t>
  </si>
  <si>
    <t>Santiago, Josef de</t>
  </si>
  <si>
    <t>Josef de Santiago</t>
  </si>
  <si>
    <t>…lo que sigue: ,, En Reales resoluciones de 28 de Mayo y 6 de Junio últimos, comunicadas por el Secretario del Consejo de Guerra á este ministerio, se sir vió el Rey determinar que D. Josef de Santiago y D. Juan Josef de Murrieta, el primero oficial del archivo secreto del Consejo de Ordenes, y el se gundo administrador principal de correos de Bilbao, continúen incorpora dos en el monte pió Militar, sin embargo de la Real orden de 9 de Junio de 18 r 5, que declara al empleado afecto a…</t>
  </si>
  <si>
    <t>Santiestéban, Agustín</t>
  </si>
  <si>
    <t>Agustín Santiestéban</t>
  </si>
  <si>
    <t>…2 del dia con el sub teniente D. Juan Josef Revilla y 30 infantes de esta compañía que se halla á mi cargo, y 25 de caballería , mandados por su teniente D. Josef Rubio y al férez D. Agustín Santiestéban á perseguir unos bandidos que se hallaban en el riachuelo impidiendo la entrada de víveres. AI llegar solo hallé tres , que inmediatamente se fugaron ; y habiendo destacado toda la caballería en su per secución , lo verificó hasta el pueblo de S. Pablo, que e…</t>
  </si>
  <si>
    <t>Santillana, Isidro Baeza y</t>
  </si>
  <si>
    <t>Isidro Baeza y Santillana</t>
  </si>
  <si>
    <t>24 Hería á los caballeros cadetes del colegio militar de Segovia D. Isidro Baeza y Santillana, D. Pedro Lujan y Romero, D. Francisco Lujan y Romero, D. Cayetano Urbina y Daoiz, D. Josef Fuentes y Elias , D. Francisco Zacagnini y Monzon, D. Pablo Tous y Fíol, D. Miguel Jorganes y Mario, D. Antonio Venene y Andrade, D. Julián Gata y Malpica, D. Mariano…</t>
  </si>
  <si>
    <t>Santin, Tomas Aparicio</t>
  </si>
  <si>
    <t>Tomas Aparicio Santin</t>
  </si>
  <si>
    <t>…tivos Gobiernos, acreditando sus encargos ,ó siendo estos de pública notoriedad. ESPAÑA. Madrid jp de Marzo. El ayuntamiento de la ciudad de Salamanca representado por los Señores D. Tomas Aparicio Santin, colector general de Espolios y Vacantes, Den Josef de Cafranga, caballero pensionado de la Real y distinguida orden de Carlos ni, secretario de S. M. con egercicio de decretos, y oficial segundo de la secretaría de Estado y del despacho de Gracia y Justicia,…</t>
  </si>
  <si>
    <t>…del Consejo de las Ordenes; duque de Vera gua, presidente del supremo Consejo de Hacienda; duque dei Parque; Don Anselmo Rivas, y D. Guilíeimo Hualde. Honores en dicho Consejo Al Sr. D. Tomas Aparicio Santin , colector general de Espolies, Vacantes y Fondo pió beneficia], y superintendente general de la casa de Misericordia y Expósitos del reino, y al Sr. marques del Vil’el, conde de Darnius. Grandeza de España. Al conde de Villapaterna la grandeza de segunda cla…</t>
  </si>
  <si>
    <t>Santistéban, Manuel Antonio de</t>
  </si>
  <si>
    <t>Manuel Antonio de Santistéban</t>
  </si>
  <si>
    <t>…, para que vengan y se presenten en este supremo Consejo por la es cribanía de cámara y de gobierno de él por lo tocante á los reinos de la corona de Aragón, que está al cargo del Sr. D. Manuel Antonio de Santistéban, secretario de S. M., por sí ó por su procurador con poder bastante á deducir y alegar de su de recho en este grado de segunda suplicación; señalándoles á este efecto el término de un mes, con apercibimiento que de no hacerlo les parará el perjuicio que haya…</t>
  </si>
  <si>
    <t>Santisteban, Manuel Antonio de</t>
  </si>
  <si>
    <t>Manuel Antonio de Santisteban</t>
  </si>
  <si>
    <t>…lados con jurisdicción veré nullius, la vean y la observen por su parte en lo que les corresponda : que asi es mi voluntad; y que al traslado impreso de esta mi cédula, firmado de D. Manuel Antonio de Santisteban, mi secretario, escribano de Cámara y de gobierno del mi Con sejo por lo tocante á los reinos de la corona de Aragón , se le dé la misma fe y crédito que á su original. Dada en Palacio á 28 de Noviembre de 1817. YO EL REY. = Yo D Juan Ignacio de Ayestarán , s…</t>
  </si>
  <si>
    <t>Santos, Josef Pió</t>
  </si>
  <si>
    <t>Josef Pió Santos</t>
  </si>
  <si>
    <t>…adrid jj de Marzo. El día 9 de Febrero tuvieron la honra de felicitar á S. M. por su augusto enlace, á nombre de la villa de Cebreros, el limo. Sr. conde de Torremuzquiz , el Lie. D. Josef Pió Santos, abogado del ilustre colegio de esta corte, y D. Luis Espinosa, alcalde por el estado noble de dicha villa; y el primero dijo á S. M.: „Señor : La viÜ3 de Cebreros, situada en la parte meridional de la pro vincia de Avila, que durante la próxima asoladora gue…</t>
  </si>
  <si>
    <t>Sanz, Angel</t>
  </si>
  <si>
    <t>Angel Sanz</t>
  </si>
  <si>
    <t>…ís: Don Pedro Sanjurjo, médico de la ciudad de Tuy, para Caldelas de este nombre: en el reino de Murcia D. Juan Alix, médico titular de la villa de Cieza, para Archena: en Navarra D. Angel Sanz, médico de Cervera del Rio Alama, para Fitero: D. Josef Rodríguez, médico de la villa de Pastrana, en la Al carria, para Velascoain : en el reino de Valencia D. Joaquín Ruiz de Lope, médico titular de la villa de Albatera, para Bussot. El interesado que no hu…</t>
  </si>
  <si>
    <t>Sanz, Antonio</t>
  </si>
  <si>
    <t>Antonio Sanz</t>
  </si>
  <si>
    <t>…a García, vecina de esta corte, en los autos que penden en el Consejo Real y escribanía de cámara del cargo de D. Valentín de Pinilla, sobre validación del testamento otorgado por Don Antonio Sanz, vecino que fue también de esta corte, en 5 de Abril de 177/, y nu lidad del papel extendido en Noviembre de 179 c , apellidado disposición testametir taria; se ha mandado citar y emplazar, como por la presente se cita y emplaza , a los interesados en la test…</t>
  </si>
  <si>
    <t>Sanz, Claudio</t>
  </si>
  <si>
    <t>Claudio Sanz</t>
  </si>
  <si>
    <t>…50, tam bién de Enero del propio año, núm. 260965 , para que dentro del termino preciso de 30 dias, contados desde 27 del pasado, acudan ante S. S. por la escribanía del número de D. Claudio Sanz á deducir y exponer el que les asista; con apercibi miento que de no hacerlo, sin mas citarles ni emplazarles, se accederá á la entrega que de ellos se solicita por parte de D. Manuel Sánchez Toscano, y á lo demas que corresponda , y les parará entero perjuic…</t>
  </si>
  <si>
    <t>…este año, y se venden con facultad Real á virtud de providencia del Sr. D. León de la Cámara Cano, hoy fiscal dei supremo Consejo del Almirantazgo, por la escribanía de número de D. Claudio Sanz; se han de rematar en el mejor postor ó postores los dias 20, 21, 22 y 23 del corriente de 11 á una de sus respectivas mañanas á las puertas de la audiencia del Sr. D. Joaquín Almazan, del Consejo de S. M., teniente corregidor de esta villa, por ante el refe…</t>
  </si>
  <si>
    <t>tidad de 75637 vfl. metálicos, acudan ante el Sr. D. Joaquín Almazan, del Consejo de S. M., teniente corregidor de esta villa, por la escribanía del número del cargo de D. Claudio Sanz; y para el remate se ha señalado el dia 27 del cor riente á las 11 de la mañana en la puerta de la audiencia de dicho señor teniente. La casa sita calle de la Paz, núm. 41 , manz. 206, tasada en 82500 rs. vn., se remató en las dos terceras partes de su tasaci…</t>
  </si>
  <si>
    <t>…, tiene 3600 pies de sitio, tasada en 105550 rs. vn. Quien quisiere hacer postura á cada una de dichas fincas acuda ante el nominado señor teniente por la escribanía del número de D. Claudio Sanz, dentro del preciso término de 30 dias, contados desde 27 del corriente. La plaza de cirujano titular de la villa de Esquivías se halla vacante, cuya do tación son 10 rs. diarios por la asistencia á todos los vecinos, sus familias y comen sales en los casos r…</t>
  </si>
  <si>
    <t>…d de 75637 rs. vn. metálicos, acuda ante el Sr. D. Joaquín Almazan, del Con* sejo de S. M., teniente corregidor de esta muy heroica villa, por la escribanía de número del cargo de D. Claudio Sanz; y para el remate se ha señalado el dia^i 5 del corriente á las 12 de su mañana en la puerta de la audiencia de dicho señor teniente. Las personas que se conceptuasen con derecho á ocho vales Reales de 150 pe sos, creación de Enero de 1809, señalados con los…</t>
  </si>
  <si>
    <t>…0 dias, contados desde su publicación, acudan ante el Sr. D. Joaquín Almazan, del Consejo de S. M., te niente corregidor de esta muy heroica villa, por la escribanía del numero de Don Claudio Sanz, por medio de procurador con poder bastante á deducir y exponer el que crean asistirles; bajo apercibimiento de que pasado dicho término sin haber com parecido les parará el perjuicio que haya lugar. El partido de médico titular de la villa de Yuncidlos, Sagr…</t>
  </si>
  <si>
    <t>…vn., y está señalado para su re mate en el mejor postor el día 9 de Diciembre próximo á las 1 2 de la mañana en It puerta de la audiencia de S. S., por ante el escribano de número D. Claudio Sanz. Por el juzgado del Sr. D. Joaquín Almazan , del Consejo de S. M., teniente corregidor de esta muy heroica villa, se cita, llama y emplaza á los acreedoicsy demas personas que se consideren con derecho ;í los bienes que quedaron por falleci miento de Juan Per…</t>
  </si>
  <si>
    <t>…alguna de ellas, para que dentro del preciso y perentorio término de 30 dias, contados desde la publicación de este aviso, acudan ante S. S. por el oficio del escribano del número D. Claudio Sanz á hacer manifestación de los citados documentos, y de las causas y motivos que les asisten para su retención^ con apercibimiento que de no hacerlo pasado dicho término, se procederá á lo que corresponda, y les parará perjuicio. En la subdelegacion particular…</t>
  </si>
  <si>
    <t>Sanz, Gregorio Cortes y</t>
  </si>
  <si>
    <t>Gregorio Cortes y Sanz</t>
  </si>
  <si>
    <t>…uín de Almazan, primer teniente corregidor de esta villa, por ante D. Claudio Sanz, escribano del número, y se admitirán las mejoras que se hiciesen. Se desea saber el paradero de D. Gregorio Cortes y Sanz, oficial primero del cuerpo del ministerio de Marina, y contador en comisión de navio, para darle ra zón de unos papeles que le interesan, acudiendo á tomar noticia de ellos á c^sa de P. Josef Maza, que vive en la plazuela de Sta. María de Ja Almudena, núm. 2…</t>
  </si>
  <si>
    <t>Sanz, Marcelino</t>
  </si>
  <si>
    <t>Marcelino Sanz</t>
  </si>
  <si>
    <t>…, hasta el dia 20 de Junio próximo, á D. Josef Alonso de Roa, alcalde ordinario de él. Se halla vacante el partido de médico de la viila de Sacedon, en la Alcarria, por ascenso de D. Marcelino Sanz á médico inspector de los Realesbaños, cuya dotación es la de 400 ducados, pagados de sus propios, y 200 por repartimiento entre vecinos; pero se advierte que aun cuando por el ayuntamiento está decretado se paguen estos 200 ducados como á dicho D. Marcelino…</t>
  </si>
  <si>
    <t>Saravia, Miguel González</t>
  </si>
  <si>
    <t>Miguel González Saravia</t>
  </si>
  <si>
    <t>…al de las provincias de Venezuela al te niente general D, Juan Manuel de Cagigai; y el gobierno e intendencia de León de Nicaragua, en eí reino de Goaternala , al teniente corone! D. Miguel González Saravia, sargento mayor veterano del provincial del mismo reino. En España. El gobierno del castillo de Monterey , en el reino de Gali cia, al capitán D. Jor^el Martínez Valladolid , teniente retirado en Andalucía; el de S. Dieí^o, dependiente de la plaza de la Corun…</t>
  </si>
  <si>
    <t>Sas, Melchor de</t>
  </si>
  <si>
    <t>Melchor de Sas</t>
  </si>
  <si>
    <t>…cibimiento que de no hacerlo asi les parará el perjuicio que haya lugar. El Godofredo, ó la Jerusalen restaurada: poema épico de Torcuato Taso, tra ducido en verso castellano por D. Melchor de Sas. En vano seria querer elogiar el original de esta obra tan conocida y admirada en todo el orbe literario, que apenas habrá un amante de las bellas letras que no la aprecie como uno de jos mas perfec tos modelos de la poesía épica. De,aqui es que no hay nación…</t>
  </si>
  <si>
    <t>Sastre, Manuel</t>
  </si>
  <si>
    <t>Manuel Sastre</t>
  </si>
  <si>
    <t>…se han insertado las siguientes actas. Acta de Cunduacéin de Tabasco. En el pueblo de Cunduacan de Tabasco á 25 de Setiembre de 1815: Yo el administrador de justicia del distrito D. Manuel Sastre, reunido con el se ñor cura Dr. D. JosefEduardo de Cárdenas en la casa de su morada, los dos vecinos honrados capitán retirado D. Domingo Barroso, y el teniente de realistas D. Francisco Quiroga y el diputado D. Josef Anselmo Rizo y Correa , certificamos y da…</t>
  </si>
  <si>
    <t>Satue, Francisco</t>
  </si>
  <si>
    <t>Francisco Satue</t>
  </si>
  <si>
    <t>…arez de Castro: la da al público por disposi ción del Excmo. Sr. general gobernador D. Andrés Perez de Herrasti, comandante general interino del egército y principado de Cataluña, D. Francisco Satue, espitan efectivo de infantería, condecorado con las insignias de la cruz de distinción de Ge rona y la del Sufrimiento por la patria, actualmente agregado al estado mayor de Barcelona, zz Discurso que en la pompa fúnebre efectuada por decreto de S. M. en dic…</t>
  </si>
  <si>
    <t>Satue, Ramón</t>
  </si>
  <si>
    <t>Ramón Satue</t>
  </si>
  <si>
    <t>…tículo 34, léase 32. Se advierte de orden del Gobierno que cualquiera papel sobre sistema de Ha cienda que no sea oficial, como es este, se tenga por apócrifo. Por providencia del Sr. D. Ramón Satue, del Consejo de S. M., alcalde en su Real casa y corte, á quien está cometida la egecucion de una Real facultad , se ha mandado sacar á pública subasta por término de 30 dias la mitad de la propiedad de un edificio ó fábrica de herrería, sita en término de la…</t>
  </si>
  <si>
    <t>Satué, Ramón</t>
  </si>
  <si>
    <t>Ramón Satué</t>
  </si>
  <si>
    <t>…escribanía acudan á acreditarlo en forma; teniendo entendido que no verifi cándolo en el indicado término se sustanciarán los autos según el estado que tengan. Por providencia del Sr. D. Ramón Satué , del Consejo de S. M., y alcalde en su Real casa y corte, se ha mandado que por 15 dias mas se vuelva á sacar á sub asta la mitad de la propiedad de un edificio fábrica de herrería de la villa de Añon : un monte al pie del Cabezo de Moncayo, nombrado de la M…</t>
  </si>
  <si>
    <t>…cho terreno, ó cualquiera de sus 39 suertes ó pedazos, acuda en dicho dia y hora, ó por la escribanía del nú» mero de D. Jacinto Gaona y Loeches. A consecuencia de providencia del Sr. D. Ramón Satue, del Consejo de S. M., alcalde de su Real casa y corte, de 25 del pasado, se cita, llama y emplaza á to dos los acreedores á los bienes de D. Pedro López, de esta vecindad, ya difunto, para que dentro del término de 30 dias comparezcan ante S. S. y escribanía…</t>
  </si>
  <si>
    <t>Saturni</t>
  </si>
  <si>
    <t>del escuadrón dél mando de vmd. , y él piquete de 20 voluntarios de la ha cienda de TemiscO'j al mando del segundo administrador de ella D. Saturni no Ibargüengoitia , que se me reunió en el rancho de Buenavista , y cuyas partidas se sirvió vmd. poner á mis-órdenes , con las instrucciones y preven ciones necesarias , para perseguir á la gavilla que robó las muías á un arriero en el citado rancho ; habien…</t>
  </si>
  <si>
    <t>Sau-</t>
  </si>
  <si>
    <t>…erta y despedido el criado, quien después escribió al caballero Tomassia confesando que habia sido ganado por el ba rón O.... La Princesa dió cuenta del caso al gobernador general conde Sau-</t>
  </si>
  <si>
    <t>Saurau</t>
  </si>
  <si>
    <t>…nes verbales sobre los asuntos de la Dieta, que principian ya á ser interesantes. Ha venido también de Madrid el Príncipe de Kaunitz, embajador nom brado para la corte de Roma. El conde Saurau, que debe ocupar su lugar en la corte de España , no ha salido todavía para su destino. Se anuncia una nueva planta de nuestros correoss cuyo objeto es que se conduzcan las carras por territorio austríaco todo el trecho posible. Las car tas de Viena para Parí…</t>
  </si>
  <si>
    <t>…de Nápoles, las que reci birán raciones en las provincias napolitanas, y después se mantendrán á ex pensas del Austria. Se asegura que el conde Julio Strasoldo debe reemplazar al conde Saurau en el gobierno de Milán. El archiduque Palatino se ha detenido aquí 24 horas, porque ha querido asistir á la instalación de los profesores del nuevo museo de Buda. El lunes último se enterró aqui el inspector del cementerio israelita de esta ciudad, sugeto ta…</t>
  </si>
  <si>
    <t>Savary</t>
  </si>
  <si>
    <t>…aban ya dadas todas las disposi ciones para la comodidad del embajador y de su comitiva. FRANCIA. Taris 2 y de Diciembre. SEGUNDO CONSEJO DE GUERRA. PERMANENTE. Causa del teniente general Savary, duque de Róvigo. Después de haber leído el presidente la orden de la convocación del con sejo , y la lista de los individuos que le componen, el fiscal Real expuso que la duquesa de Róvigo habia dirigido al consejo una memoria impresa, cuyo objeto es justifi…</t>
  </si>
  <si>
    <t>…e esto el fiscal tomó la palabra , y en un largo discurso desva neció cuanto se habia alegado á favor de Savary; y concluyó su acusación del modo siguiente: „ Pido que el teniente general Savary sea declarado trai dor, á consecuencia de haber facilitado la vuelta de Bonaparte á Francia por medio de tramas secretas y criminales; como también porque siendo uno de los oficiales generales del egército Real aceptó del usurpador desde el 20 de Marzo el emp…</t>
  </si>
  <si>
    <t>…canos. La chalupa ameri cana el Spark salió de Argel para los Estados-Unidos elaj de Diciembre, y se supone que llevaba el tratado de paz. Las cartas de Nueva-York dicen que el ex-general Savary habia llegado el 21 de Diciembre último á Salem, cerca de aquella ciudad, á bordo del bu que la Augusta. Habiendo votado la junta general de los accionistas del banco de Francia dar un socorro extraordinario á los pobres de la capital, los directores de él ha…</t>
  </si>
  <si>
    <t>…á un blanco llamado Mr. Bourgba ux, que militó de segun do comandante á las órdenes del famoso Rigaud, y ha vivido siempre en bue na armonía con Petion. Escriben de Trieste que el general Savary está confinado en una ciudad del interior de la Stiria bajo la vigilancia de la policía. El tribunal de policía correccional de París ha condenado á 15 dias de cárcel á un particular que atropelló y maltrató con su birlocho á un tenien te de la guardia Real.…</t>
  </si>
  <si>
    <t>Saxnano, Juan</t>
  </si>
  <si>
    <t>Juan Saxnano</t>
  </si>
  <si>
    <t>…e Narayo, regente de teología. La matrícula estará abierta hasta el dia i.° de Noviembre. El Rey nuestro Señor se ha servido conceder el vireinato de Santa Fe al mariscal de campo D. Juan Saxnano: el gobierno del castillo de Hostalrich, en Cataluña, á D. Salvador Guerrero, corone) agregado al regimiento de in fantería de Valencey : la ayudantía del mismo castillo á D. Manuel Arnau, subteniente del regimiento de infantería de Jaén ; y la primera de la…</t>
  </si>
  <si>
    <t>Saxonia-Teschen, Alberto de</t>
  </si>
  <si>
    <t>Alberto de Saxonia-Teschen</t>
  </si>
  <si>
    <t>…que vengan de ios países mas inmediatos á la Rusia, y dentro de cuatro para los que vengan de países distantes corno de Italia, España y Portugal.” AUSTRIA. Viena 28 de Marzo. El* duque Alberto de Saxonia-Teschen ha enviado á la tesorería de ía junta de Garidad que se ha formado aquí la cantidad de 10® florines, escri biendo al mismo tiempo al príncipe de Metternich, que sentia mucho no po der dar mas á un establecimiento tan útil. El mismo duque ha hecho distri buir…</t>
  </si>
  <si>
    <t>…rsburgo y de Viena.. Acaba de recibir el agua del bautismoel hijo del Archiduque Carlos por mano del arzobispo de Viena, y le han puesto los nombres de AlbertoFederico-Rodulfo. El duque Alberto de Saxonia-Teschen ha sido su padrino. Ha hecho aquí grande sensación la noticia recibida últimamente de Le vante sobre la muerte violenta del famoso partidario Czerni-Jorge, en otro tiempo gefe de la insurrección de la Servia contra la Puerta otomana, que vivía retirado en Kis…</t>
  </si>
  <si>
    <t>Sbnakemherg, Juan</t>
  </si>
  <si>
    <t>Juan Sbnakemherg</t>
  </si>
  <si>
    <t>…, que en 28 de Febrero de 1806 salió de Lisboa con dirección áCherbourg, en Francia, capitaneado por Juan Pedro Jansen, vecino del Monte de Hamburgo, por enfermedad de su anterior capitán Juan Sbnakemherg, y fue apresado por el corsario español titulado Sto. Cristo del Pardo, su armador D. Florencio Lozano, vecino de esta corte, para que en el preciso y perentorio término de cuatro meses, contados desde la publicación de este aviso, se presenten en dicho supre…</t>
  </si>
  <si>
    <t>Scarlati, Francisco</t>
  </si>
  <si>
    <t>Francisco Scarlati</t>
  </si>
  <si>
    <t>…lán de honor de S. M , con opcion a la de numero; D. Ignacio Gutiérrez Solana, veedor general de la Real casa, D, Francisco Fernandez del Pino, regente de la audiencia de Caceres, D. Francisco Scarlati, contador general de la Real casa, con op ción a la de numero; D Juan Florín, oficial de la secretaría del despacho villaje*Madrid' ^ 3 Camara Cano&gt; Uniente corregidor de la heroica AI Rmo. P. Fr. Cirilo Alameda, del orden de S. Francisco, plaza de U inmacuIa…</t>
  </si>
  <si>
    <t>Schauenstein, Buol de</t>
  </si>
  <si>
    <t>Buol de Schauenstein</t>
  </si>
  <si>
    <t>…misionados portugueses. El Archiduque Ranerio ha quedado encargado del gobierno interior du rante la ausencia del Emperador, á quien da parte diariamente de todo lo que ocurre. El conde Buol de Schauenstein, ministro de Austria en Francfort, em pleará las vacaciones próximas de la Dieta en acompañar á su hijo á París, que va de secretario de legación, y pasará en seguida a las aguas de Aix en Saboya, adonde irá también el Príncipe Fernando de Wissenberg. Los Arc…</t>
  </si>
  <si>
    <t>Scheder</t>
  </si>
  <si>
    <t>…R y y la R vina de Wurtemberg, que viajan con el título de conde y condesa de Hohei.berg, estuvieron días pasados en Wissemburgo, donde el Rey pasó revista al cuerpo del teniente general Scheder. Han venido aqui el Principe de la Tour y Taxis, el conde de Alopeus, ministro de Rusia, y otros varios diplomáticos y diputados de la Dieta de Wurtemberg. JMuniih 17 de Julio. Se espera de dia en día que se publique la orden para reducir nuestro egérciro á m…</t>
  </si>
  <si>
    <t>Schiavini</t>
  </si>
  <si>
    <t>…n una relación de los viages de S. A. R. la Princesa de Giles se hallan los pormenores siguientes: „Su corte se compone de la condesa de Oldi, de Cremona; del doctor Mochetti; del caballero Schiavini, caballerizo mayor; de los caballeros Tomassia y Pergami; de Mr. Haunaum, ingles, secretario particular, de varios criados y criadas de todas clases &amp;c. „La Princesa compro á la condesa de Pino la casa de campo cerca del lago de Como, que habita en el dia, y…</t>
  </si>
  <si>
    <t>rau, quien mando al barón de O.... saliese desterrado del territorio austríaco. „E1 secretario Haunaum desafio al barón de O....; pero este lo retardó con varios pretextos. ,, El caballero Schiavini está encargado de escribir la relación del viage de la Princesa en Oriente.” SUIZA. Lausana 29 de Abril. Todas las cartas de los cantones orientales dan las noticias mas melancó licas acerca de la miseria pública, que va en aumento de día en dia ; en confir m…</t>
  </si>
  <si>
    <t>Schiel</t>
  </si>
  <si>
    <t>…os de dichos puertos está severa mente prohibida toda comunicación con Africa y con Malta, y las leyes de cuarentena se observan rigurosamente. El buque el Príncipe Real Federico, capitán Schiel, recien entrado en el Támesis, procedente de Noruega, fue visitado en el Doggerbanck por una goleta y un bergantín armados, que se supone ser los dos corsarios tunecinos que se habían visto hace algún tiempo en las costas de Noruega. Se asegura que una de las…</t>
  </si>
  <si>
    <t>Schnck</t>
  </si>
  <si>
    <t>866</t>
  </si>
  <si>
    <t>…las autoridades civiles y militares de esta ciudad. Por la noche hubo grande orquesta frente al balcón de palacio, y al día si guiente fueS. A. padrino de bautismo de un hijo del capitán Schnck. El mismo día vinieron también SS. MM. el Rey y la Reina de Wurtemberg; y después de haber visto lo mas notable que hay en esta ciudad, salieron para Wisbaden. Kehll 79 de Julio. Desde el 7 de este mes hemos estado aquí con sobresaltos continuos. El Rhin crec…</t>
  </si>
  <si>
    <t>Schouwalow</t>
  </si>
  <si>
    <t>…79 de Diciembre. Se asegura que se han convertido á la fe católica el Príncipe de SaxoniaGotha, que reside aqui hace algunos años, y la Princesa Dietrichtenstein, hija del difunto conde Schouwalow. Ancana 20 de Diciembre. Han entrado en este puerto dos buques sardos, que han sido perseguidos por unos corsarios que llevaban bandera negra y roja. Se ignora absoluta mente á que naciones pertenecen. Respetan hasta cierto punto á los pabe llones romano, aus…</t>
  </si>
  <si>
    <t>Schulenbourg</t>
  </si>
  <si>
    <t>…ncia para vender la suya, no queriendo tener semejante vecino. Idem 4 de Junio. Los ministros extrangeros acreditados cerca de nuestra corte continúan saliendo de esta capital. El conde Schulenbourg, ministro del Rey de Saxonia, y el barón Spaen de Woorstenden, ministro del Rey de los Países-Ba jos , partieron hace algunos dias , el primero para Dresde, y el segundo para Bruselas. Idem La función dada por el embajador de Portugal ha sido sumamente es plé…</t>
  </si>
  <si>
    <t>Schurman</t>
  </si>
  <si>
    <t>…á todos los vestidos y aun las camisas. En 5 de Julio apresaron los mismos argelinos el bergantín ruso la Indus tria cerca del cabo de Finisterre; pero fue luego represado por el capitán Schurman. Los apresadores tuvieron á este buque por prusiano, y si hubiese llegado á Argel le hubieran dado por libre, pues el Dey no quiere tener des avenencias con la Rusia. Los argelinos, que ignoraban haber sido represado el buque, estaban ad mirados de no verle a…</t>
  </si>
  <si>
    <t>Schwarfzemberg, Príncipe de</t>
  </si>
  <si>
    <t>Príncipe de Schwarfzemberg</t>
  </si>
  <si>
    <t>88i La salud del feld-mariscal Príncipe de Schwarfzemberg se halla en un estado muy satisfactorio: le han probado muy bien las aguas de Carlsbad, y se espera que vuelva aqui enteramente restablecido. Idem 21. En caso que la escuadra portuguesa nc llegue pronto á Liorna vendrá aqui el Príncipe de Metternich,y le reem…</t>
  </si>
  <si>
    <t>Schwartzemberg, Príncipe de</t>
  </si>
  <si>
    <t>Príncipe de Schwartzemberg</t>
  </si>
  <si>
    <t>…un gran banquete en celebridad de los dias de nuestro Soberano, á que asis tieron los individuos del cuerpo diplomático que se hallan en esta capital^ Hay noticias de que el feld-mariscal Príncipe de Schwartzemberg^stá,</t>
  </si>
  <si>
    <t>Scio, Felipe</t>
  </si>
  <si>
    <t>Felipe Scio</t>
  </si>
  <si>
    <t>…comparecido, se sustanciarán en es trados, y les parará el perjuicio que haya lugar. Los suscriptores á la Biblia vulgata latina y castellana, traducida y anotada por el limo. P. D. Felipe Scio, de las Escuelas Pías, acudirán á recoger el tomo 3.* del nuevo Testamento, y pagar el importe del 4.0 á la portería del colegio de Es cuelas Pías de Avapies de esta corte. Se hallarán también de venta para los que no han suscrito á 30 rs. en rústica desde el…</t>
  </si>
  <si>
    <t>…me aviso del recibo de esta. Dios guarde á V. muchos años. Madrid 22 de Mayo de 1817. Los suscriptores á la Biblia vulgata latina y castellana, traducida y anotada por el limo. P. D. Felipe Scio, de las Escuelas Pias, acudirán á recoger el tomo 4.0 del nuevo testamento, último de toda la obra , á Ja portería del colegio de Escuelas Pias del Avapies de esta corte. Se hallaran también de venta para los que no han suscrip to á 30 rs. en rústica desde el…</t>
  </si>
  <si>
    <t>Sciomeri, Ana</t>
  </si>
  <si>
    <t>Ana Sciomeri</t>
  </si>
  <si>
    <t>que acompañaba,como también la exposición que sobre el mismo asunto di rigió á V. E. Doña Ana Sciomeri, dueña y empresaria del referido teatro, quejándose del gobernador y comandante de armas con motivo de ocupar el palco en cuestión sin pagar su importe; y enterado de todo ha venido en declarar, conformándose con el parecer de V. E., que ni al comandante de l…</t>
  </si>
  <si>
    <t>Se, C. G. O.</t>
  </si>
  <si>
    <t>C. G. O. Se</t>
  </si>
  <si>
    <t>…arará el perjuicio que haja lugar. Ensayo acerca de la tortura, ó cuestión del tormento, publicado en latín en 177o por el Dr. D. Alfonso de Acevedo, y traducido en castellano por D. C. G. O. Se hallará en 8.° á la rústica á 10 rs. en la librería de Calleja, calle de las Carretas. A este curioso y eruditísimo escrito precede un prólogo del traductor, en que se da noticia de la segunda censura que sufrió algunos años después de su publicación de orden…</t>
  </si>
  <si>
    <t>Se, J. B.</t>
  </si>
  <si>
    <t>J. B. Se</t>
  </si>
  <si>
    <t>…ancia durante la revolución france sa, con un juicio de las buenas y malas disposiciones de los generales de ambas par tes: un tomo en 4.°, traducido del francés al español por el coronel D. J. B. Se ha llará á 16 rs. en rústica y 20 en pasta en la librería de Castillo, frente á S. Felipe el Real; en el almacén de papel de Grimaud , calle de las Carretas, y en Barcelona en la de Brussi. Compendio de la historia de Grecia, precedido de un breve resúmen de…</t>
  </si>
  <si>
    <t>Se, Pascual</t>
  </si>
  <si>
    <t>Pascual Se</t>
  </si>
  <si>
    <t>…e la Cámara Cano, del Consejo de S. M. en el supremo de Hacienda, teniente corregidor y corregidor interino de esta muy heroica villa, y por la escribanía del níimero del cargo de D. Pascual Se co, que se admitirán las que se hicieren siendo arregladas. Observaciones médico-políticas sobre la estimación, vicios y defectos que han tenido y tienen las profesiones y profesores del arte de curar: por el Lie. D. Blas Llanos, profesor de medicina y del Re…</t>
  </si>
  <si>
    <t>…de 1817. = Angel González Barreiro. En virtud de providencia del Sr. D. Joaquin Almazan, del Consejo de S. M. teniente corregidor de esta villa, y por la escribanía del número de D. Pascual Se co, se ha mandado sacar Jí pública subasta por término de 30 dias, y por la canti dad de 125$) rs., una casa sita en esta corte y su calle de Toledo, señalada con el ■núm. 11 de la manz. 144. Quien quisiere hacer postura á ella acuda ante dicho se.íior y cita…</t>
  </si>
  <si>
    <t>Sebastian</t>
  </si>
  <si>
    <t>…Soberano, por quien como siempre estoy dispuesto á sacrificar mi existencia. En la provincia de Varinas dejo suficientes tropas á las órdenes del brigadier Don Ramón Correa , y al coronel D. Sebastian de la Calzada en S Fernando para que cubran y defiendan las riberas del Apure, y hostilicen en cuanto puedan al enemigo, como sucede con las frecuentes-incursiones que hacen por toda la</t>
  </si>
  <si>
    <t>…inclusos mu chos oficiales escogidos por su conocido atrevimiento é intrepidez que guia ban las cargas, no habiendo pasado la nuestra de 60. Debo recomendar á V. E. el mérito del coronel D. Sebastian de la Calzada, quien se ha distin guido no solo por su valor y pericia, sino por los oportunos conocimientos que me ha suministrado del pais, y circunstancias del enemigo: al coronel graduado del Real cuerpo de artillería D. Josef María Barreiro, que manda-</t>
  </si>
  <si>
    <t>Sebastian, Hemeterio</t>
  </si>
  <si>
    <t>Hemeterio Sebastian</t>
  </si>
  <si>
    <t>…rretas; de Brun , frente á las gradas de S. Felipe ei Real, y de Novi llo, calle de la Concepción Gerónima*. en Zaragoza en la de Polo y Monge; en So ria en la casa de comercio.de D. Hemeterio Sebastian, y en Logroño en la de Olozaga , calle de Mercaderes. Los Rechazos, comedia nueva, y fácil de egecutarse en casas particulares por te ner pocas personas.~La Venganza, tragedia en cinco actos. Se hallarán en la libre ría de Cuesta, calle de Correos, y en su pu…</t>
  </si>
  <si>
    <t>…de las Carretas, y en la imprenta de Dávila, calle de Barrionuevo; en Zarago za en la librería de Polo y Monge; en Logroño en la de Olozaga, y en Soria en la tienda de comercio de D. Hemeterio Sebastian: su precio en Madrid 20 rs. en pasta y 16 á la rústica, y en las provincias dos reales mas. Correcciones al trillo inventado por D. Juan Alvarez Guerra, egecutadas por D. Juan Francisco Gutiérrez, aprobadas y mandadas publicar por la Real sociedad económica d…</t>
  </si>
  <si>
    <t>Seco, Pascual</t>
  </si>
  <si>
    <t>Pascual Seco</t>
  </si>
  <si>
    <t>…todos los acreedores á los bienes quedados por muerte de Doña Benita María Bustio, para que dentro del término de 30 dias comparezcan ante dicho señor juez, y por la escribanía de Don Pascual Seco por sí ó por medio de procurador con poder bastante á decir de su de recho en el juicio de testamentaría, pues si comparecieren se Ies oirá y guardará jus ticia en lo que la tuvieren, y pasado dicho término si no vinieren, se procederá, sin mas citarles ni ll…</t>
  </si>
  <si>
    <t>…ña Benita María Bustio para que en el término de 1 § dias,precisos y perentorios,que por ú timo se les señala,com parezcan ante dicho señor juez, y por la escribanía del número de D. Pascual Seco, por sí ó por medio de procurador con poder bastante i decir de su derecho, pues si</t>
  </si>
  <si>
    <t>…providencia del Sr. D. León de la Cámara Cano, del Consejo de S. M. en el Supremo de Hacienda, teniente corregidor, y corregidor interino de esta muy heroica villa, refrendada de D. Pascual Seco, escribano del número de la misma, se ha señalado para el remate de una casa, sita en esta corte y su calle de Santiago el Verde, núm. 13, manz. 76, el día i.° del próximo mes de Marzo, á las 12 de su mañana, en su audiencia. Diccionario de la lengua castella…</t>
  </si>
  <si>
    <t>…de superficie, por la cantidad de 6c3 rs. en que se ha retasado. Quien quisiere hacer postura acuda dentro del citado término an te el nominado señor juez, y por la escribanía de D. Pascual Seco. Hallándose pendientes en el juzgado de esta capitanía general y auditoría de guerra de Castilla la Nueva los autos de testamentaría del mariscal de campo Don Josef Casimiro de la Valle, gobernador militar y político que fue de la plaza de Alicante, se ha man…</t>
  </si>
  <si>
    <t>…a del Sr. D. León de la Cámara Cano, del Consejo de S. M. en el supremo de Hacienda, teniente primero de corregidor, y corregidor interino de esta muy heroica villa, refrendada de D. Pascual Seco, se ha señalado para el remate de una casa sita en la calle de Santiago el Verde , núm. rg , manza na 76, el dia 30 del corriente á las 1 2 y media de la mañana en su audiencia. Por decreto dado en 27 de Mayo último por el tribunal del consulado de co mercio…</t>
  </si>
  <si>
    <t>…del Sr. D. León de la Cámara Cano, del Consejo de S. M. en el supremo de Hacienda, teniente primero de corregidor, y corregidor in terino de esta muy heroica villa, refrendada de D. Pascual Seco, escribano del nú mero de ella, se ha señalado para el remate de un corral site extramuros del porti llo de Embajadores de esta dicha villa, á la mano izquierda del camino que se diri ge al puente de Toledo, el dia 5 del próximo mes de Agosto á las 12 de la m…</t>
  </si>
  <si>
    <t>…providencia del Sr. D. Joaquin de Almazan y Ximeno , del Consejo de S. j\L, teniente corregidor de esta muy heroica villa, y por la escribanía del número de la misma de! cargo de D. Pascual Seco, se ha mandado sacar á pública subasta por tér mino de 30 dias una casa sita en esta población y su calle de S. Vicente alta, nú mero 9. manz. 453 , que tiene de sitio 2350 pies y |r de otro cuadrados superficia les, tasada en la c.mridad de 18005 rs. Quien q…</t>
  </si>
  <si>
    <t>…ejo de S. M. en el supremo de Hacienda, teniente primero de cor regidor , y corregidor interino de esta muy heroica villa, y por la escribanía del nú mero de la misma del cargo de D. Pascual Seco, que se admitirán las que se hicie ren siendo arregladas. Se halla vacante la plaza ó partido de médico titular de la villa de Villarubia de Santiago , junto á Ocaña, cuya dotación anual es de 700 ducados, cobrados por la justicia del vecindario. Se admiten p…</t>
  </si>
  <si>
    <t>…. 416, perteneciente en el dia á las hijas y herederas de D. Diego Benigno González, pa ra que en el término de 30 dias se presenten ante S. S., y por la escribanía del nu mero de D. Pascual Seco, á decir y acreditar con documentos el que les corresponda por medio de procurador con poder bastante, que si lo hicieren se les oirá y guar dará justicia, y en otro caso se sustanciarán en rebeldía los autos promovidos por las nominadas herederas sobre que s…</t>
  </si>
  <si>
    <t>…e medio no podrá equivocarse con los demás. Por providencia del Sr. D. Joaquín Almazan y Ximeno, del Consejo de S. M., teniente corregidor de esta muy heroica villa, refrendada de D. Pascual Seco, es cribano Real y del número de la misma, se ha señalado para el remate de una casa sita en la calle de S. Vicente alta, núm. p, manz. 453, el dia 14 del corriente á las 12 de la mañana en la audiencia de dicho señor. A voluntad de su dueño se venden diferen…</t>
  </si>
  <si>
    <t>…familia un modelo de virtudes domésticas. Por providencia del Sr. D. Joaquín Almazan y Ximeno , del Consejo de S. M., teniente corregidor de esta muy heroica villa, refrendada de D. Pascual Seco, es cribano del m'i¡r.ero de la misma, se ha señalado para el remate de una casa sita en</t>
  </si>
  <si>
    <t>…dará á los autos el curso qu;e corresponda. Por providencia del Sr. D. Joaquín Almazan y Xfmeno, del Consejo de S. M,, teniente corregidor de esta muy heroica villa, refrendada de D. Pascual Seco, es cribano Real y del número de ella, se ha sacado á pública subasta por término de 30 dias, y precio de 125© rs., una casa sita en la calle de Toledo, señalada con el núm. 11 de la manz. 144, y rematado en 88500 rs. metálicos, cuya subasta, en virtud de dec…</t>
  </si>
  <si>
    <t>…de D. Diego Benigno González, p3ra que en término de 15 dias, que por úl timo y perentorio se les señala, se presenten en la audiencia de S. S*, y por la es cribanía del número de D. Pascual Seco, á acreditar con documentos el que les cor responda, por medio de procurador con poder bastante i con apercibimiento de que pasado se tomará la providencia que corresponda, sobre que á las mencionadas he rederas se conceda permiso para proceder libremente á l…</t>
  </si>
  <si>
    <t>1224 Por providencia del Sr. D. Joaquín de Almazan y Ximeno, del Consejó de S. M;, teniente corregidor de esta muy heroica villa, refrendada de D. Pascual Seco, es cribano del número de la misma, se ha señalado para el segundo remate de una casa sita en la calle de Toledo de esta corte, núin» í i, manz. 144, el dia 26 del cor riente , á las 12 de la mañana, en su audiencia Se halla vacante la plaza de médico de Zorn…</t>
  </si>
  <si>
    <t>…. En virtud de providencia del Sr. D. Joaquín Almazan y Ximeno , del Consejo de S. M., teniente primero de corregidor de esta muy heroica villa , y por la es cribanía de número de D. Pascual Seco, se ha mandado sacar á pública subasta por término de go dias un pajar sito en el lugar de Fuencarral, jurisdicción de la misma, y su calle nombrada del Bonete, comprensivo de iS pies cuadrados superficiales, tasado en la cantidad de 3800 rs.—,Por providencia…</t>
  </si>
  <si>
    <t>Secreta</t>
  </si>
  <si>
    <t>…ridad de la monarquía, que lo ha menester para la suya y bien de sus pueblos.” Circular de la Dirección general de Rentas. Con fecha de 12 del corriente nos ha comunicado elExcmo. Sr. Secreta rio del Despacho de Hacienda la Real orden que sigue: ,,Habiendo dado cuenta al Rey de un expediente, formado á solicitud del rector del seminario conciliar de Cuenca con apoyo del R. obispo de la misma diócesi, sobre la pretensión de incluirse en la contribu…</t>
  </si>
  <si>
    <t>Secretario</t>
  </si>
  <si>
    <t>…e.lsion, ó entregándose por entero al diputado Fernando Gonzalez si por sí solo la egecutó •. El comandante de marina de Santander participa con fecha de 12 del ~resente al Excmo. Sr. Secretario del despacho de Marina la llegada de la ft'agata española Dos Herm;11lOs, y los bergantines Medea y Jtninlo, procedentes de la I-Iavana y la Guaira, por cuyas embarcado nes ha recibido las relaciones siguientes: l.a Relacion de los pasageros que en calidad de…</t>
  </si>
  <si>
    <t>…s conciudadanos. Lo que de Real orden se publica para satisfacción de aquella zelosa junta de sanidad y estímulo á iguales plausibles esfuerzos de parte de las demas del reino. El señor Secretario del despacho de la Guerra ha dispuesto, para evitar la introducción de la peste de levante, que se formen en Andalucía cuatro escuadrones de caballería, y se empleen exclusivamente en este importante servicio, evitando el contrabando, que por lo regular es el…</t>
  </si>
  <si>
    <t>…nerales de Andalucía , Valencia y Granada para la distribución del sitio 6 sitios que han de ocupar: que se establezcan los guarda-costas, según se Ea prevenido antes de ahora al señor Secretario del despacho de Marina duran te los riesgos de la peste : que se establezcan los dos místicos en los límites de cada provincia, como dice el gobernador de Tarifa, para impedir atraquen á las costas los pequeño^ faluchos que de inteligencia con numerosas cuadr…</t>
  </si>
  <si>
    <t>Excmo. Sr. Secretario dé Estado y del Despachó dé Hacienda la Real orden ue sigue: „E1 Rey nuestro Señor se ha servido declarar que las rentas decimales constituyentes del Real erario del Estado, propias de él y de naturaleza di ferente ae bienes particulares, conocidas con los no…</t>
  </si>
  <si>
    <t>1222 comunicado á ésta Dirección general de Rentas, con fecha 30 de Setiembre último, la Real orden que sigue: Con esta fecha digo al Sr. Secretario del despacho de Marina lo siguiente: ,,Excmo. Sr.: He dado cuenta al Rey nuestro Señor de lo que ha expuesto la Dirección general de Rentas , en vista de la Real resolución que V. E. se sirvió comunicarme en 31 de Mayo último sobre la suspensión temporal de D…</t>
  </si>
  <si>
    <t>…al orden para su cumplimiento. Dios guarde á VV. SS. muchos años. Palacio 2 de :Diciembre de 1817. =S res. *Di rectores generales de Rentas.’* Circular de la Tesorería gnu ral. El Sr. Secretario del despacho de Hacienda con fecha de 2 del corriente me dice de Real orden lo siguiente : „ Enterado el Rey nuestro Señor de la representación que ha hecho la condesa viuda de Buena Vísta Cerro, vecina de la villa de Belmonte , expo niendo que á su difunto e…</t>
  </si>
  <si>
    <t>Secretarlo</t>
  </si>
  <si>
    <t>…nuel de Torres. = D. Felipe de Sobrado. = Registrada Aquilino Escudero.^Tenien te de canciller mayor , Aquilino Escudero.. En oficio de 12 de Setiembre último participa al Excnlo. Sr. Secretarlo del despacho de Marina desde la Guaira el comandante de Marina del apos tadero de Puerto-Cabello que por noticias oficiales se sabia que las tropas españolas al mando del coronel D. Francisco Ximenez habían tomado pose sión de Guiría y todos sus fuertes con p…</t>
  </si>
  <si>
    <t>Segovia</t>
  </si>
  <si>
    <t>…que el coronel la Hera la li bertó , y dio la bizarra é interesante batalla de Garzas: del mismo modo proporcionó con la formación de la compañía de artesanos y nombramiento de su comandante Segovia ei contar con estos defensores que antes no había, y que acaban de hacer este señalado servicio. Idem $ de Junio. A los 9 dias de estar reunidos aquí los 1860 hombres de la expedición contra la Madrid, se nos pasaron del enemigo 5 individuos, 4 de los prisio…</t>
  </si>
  <si>
    <t>Segovia, Juan Antonio</t>
  </si>
  <si>
    <t>Juan Antonio Segovia</t>
  </si>
  <si>
    <t>…o del coronel D. Manuel Antonio Tar dío, y de los cholos de la compañía de artesanos 160, que mandó formar el mariscal Tacón, nombrando por su comandante al zeloso y activo vecino D. Juan Antonio Segovia ; y reforzadas con estos 400 hombres las trinche ras, se sacaron les dos cañones de á 4, que eran los únicos que teníamos, y se preparó la defensa, dejando en la plaza como 50 hombres del centro de reserva. A las 7 envió la Madrid un parlamentario insinuando…</t>
  </si>
  <si>
    <t>Segovia, Saturnino</t>
  </si>
  <si>
    <t>Saturnino Segovia</t>
  </si>
  <si>
    <t>…principio en Santa María de Agosto del presente, y concluirán en igual dia del año que viene de 1821, cuyo terreno ha de servir para pasto y la bor, acuda á la casa habitación del Sr. D. Saturnino Segovia, administrador de la citada Real casa de Campo, que vive costanilla de Capuchinos de la Paciencia, ó á la escribanía del número de D. Juan Villa y Olier, sita dentro de las casas consis toriales de esta heroica villa, donde se íes instruirá de las condiciones…</t>
  </si>
  <si>
    <t>…presentado pliego de proposiciones á dicho arriendo; se vuelve i hacer saber á todas y cualesquiera personas que quieran entrar en dicho arriendo, acudan á ia casa habí tacion del Sr. D. Saturnino Segovia , administrador de la citada Real casa de campo, que vive costanilla de capuchinos de la Paciencia, ó á la escribanía del número de 1). Juin Villa y Oder., sita dentro de las casas consistoriales de esta heroica villa, donde se les instruirá de las condicione…</t>
  </si>
  <si>
    <t>Selma, Fernando</t>
  </si>
  <si>
    <t>Fernando Selma</t>
  </si>
  <si>
    <t>…igo de la iglesia de Orleans, é individuo de varias academias, tradu cidos en castellano: dos tomos en 4.0 Se hallarán en la librería de Tieso, calle de las Carretas. Las obras de D. Fernando Selma, grabador de cámara de S. M., se hallarán de venta en el almacén de estampas de la calle Mayor, frente á la casa del conde de Oñate, y en la librería de Rodríguez, calle de las Carretas, á los precios siguien tes: la del Nacimiento, sacada del cuadro de Rafae…</t>
  </si>
  <si>
    <t>Senft</t>
  </si>
  <si>
    <t>…e reemplazado en este destino el conde de Slaaden; y en el ínterin que este venga se ha en cargado de los negocios el secretario de dicha legación barón de Miltitz, pues el citado barón Senft se prepara á partir para Berlín en la semana próxima. Hace dos meses que no recibimos - noticias directas del Egipto; pero se sabe por vías indirectas que en el puerto de Alejandría causaba estragos la peste, sin que se hable nada de aquel bajá, lo cual hace…</t>
  </si>
  <si>
    <t>Sentís, Josef Remon y</t>
  </si>
  <si>
    <t>Josef Remon y Sentís</t>
  </si>
  <si>
    <t>…A. Madrid 11 de Abril. El dia 18 de Marzo tuvo la honra de felicitar á S. M. por su efectuado matrimonio la ciudad y partido de Peñíscola, por medio de una diputación compuesta de D. Josef Remon y Sentís, coronel de caballería, exento del Real cuerpo de guardias de la Persona del Rey , y caballero de la orden Real y militar de S. Hermenegildo; de D. Josef Martí, coronel de egércíto, y primer teniente de Reales guardias de infantería española, y de D. Anto nio…</t>
  </si>
  <si>
    <t>Seoanes, Joaquín Perez</t>
  </si>
  <si>
    <t>Joaquín Perez Seoanes</t>
  </si>
  <si>
    <t>…derno de actas de e&lt;ue año, que se ha de dar á luz, é igualmente ios premios que Ies fueron adjudicados: mientras tanto habremos de hacer el sacrificio de no anticipar sino los de D. Joaquín Perez Seoanes, D. Ricardo Perez y Don F rancisco M aria Uiierte, los cuales han concluido el último curso, y recibi do en premio de eso, y de su sobresaliente aplicación, una medalla de plata de una onza , y el examen marítimo de D. Jorge Juan. También la tenido este año l…</t>
  </si>
  <si>
    <t>Ser</t>
  </si>
  <si>
    <t>…por el rio en piraguas para caer á retaguardia del enemigo, y el otro por el camino mas corto á su frente, mandado por el mismo, según lo habíamos concertado ambos al regreso del capitán Ser rano. Arrollados los enemigos en el primer encuentro, y aprovechándose este ge fe de su acertada celeridad, acometió á la población en el momento crítico de ir á ser incendiada por la canalla, libertándola asi de este desastroso, su ceso que previo tan oportu…</t>
  </si>
  <si>
    <t>Serien, Josef Vega</t>
  </si>
  <si>
    <t>Josef Vega Serien</t>
  </si>
  <si>
    <t>…exactitud con que desempeña cada uno sus deberes. Los jovenes que sobresalieron en todos Tos ramos fueron D. Demetrio Vasconi, D. Francisco Rodríguez Sánchez, D. Mariano Guerrero, D. Josef Vega Serien, D. Francisco Cívico , D. Salvador Mifsud, D. Manuel Gimé nez y D. Diego Meras. Madrid 21 de Febrero» El dia 19 del. pasado tuvo la honra de besar la Real mano de S. M. una diputación de la suprema asamblea de la Real&gt; y distinguida orden de Car los 111; en c…</t>
  </si>
  <si>
    <t>Serna, Antonio</t>
  </si>
  <si>
    <t>Antonio Serna</t>
  </si>
  <si>
    <t>…nifestado el amor, fidelidad y patriotismo que tienen á nuestro Rey, cumpliendo exactamente con mis órdenes, no dejando en olvido el mérito contraído* por el capitán de zapado res D. Antonio Serna; suplicando á vmd. tenga la bondad de poner este par te en las superiores manos de S» E. para su superior conocimiento y sa tisfacción. ,,Dios guarde á vmd. muchos años. Cuartel subalterno de Huautla Fe brero 24 de 1817. = Antonio Cortés. = Sí. teniente coron…</t>
  </si>
  <si>
    <t>Serra, Jocefa Andrés y</t>
  </si>
  <si>
    <t>Jocefa Andrés y Serra</t>
  </si>
  <si>
    <t>…to de la dis tribución cedieron la parte pecuniaria dd premio D. Jaime Manent y Don "Vicente Morera, y de las niñas Doñi María Vicenta Lorente y González, Doña Magdalena Beltran , Doña Jocefa Andrés y Serra, Doña Josefa Bur gués, Doña María Dominga Aparici, Doña Carmen Sala y Corones, Doña Magdalena Prat, Doña Vicenta Vidal, Doña Vicenta Carruana, Doña Isa bel María Morera, Doña Bernarda Palomares y Doña Antonia Chaubet. D espues de esto, habiendo ocupado los pr…</t>
  </si>
  <si>
    <t>Serra, Josef Carreia da</t>
  </si>
  <si>
    <t>Josef Carreia da Serra</t>
  </si>
  <si>
    <t>Num. 9*. [; cuartos.] $of GACETA DE MADRID DEL JUEVES 31 DE JULIO DE 1817. BRASIL. Rio- Janeiro 2 de Mayo. Extracto de la gaceta ministerial de esta corte. Oficio del Sr. D. Josef Carreia da Serra, ministro plenipotenciario de S. M. Fidelísima cerca de los E st ados-Unidos, dirigido al secretario de relaciones exteriores de dichos Estados Mr. Jaime Monroe. ,,Muy Sr. mío: A consecuencia de la solicitud que hice se me ha entre gado la copia auténtica de…</t>
  </si>
  <si>
    <t>Serra, Josef García</t>
  </si>
  <si>
    <t>Josef García Serra</t>
  </si>
  <si>
    <t>…de Gaztañaga, del Consejo de S* M., su alcalde de casa y corte, y escribanía de provincia y comisiones de D. Manuel Ló pez de Pavas, se halla radicada la testamentaría del difunto D. Josef García Serra no, vecino y agente del numero de Indias que fue en esta corte; á su virtud , y en junta general celebrada en 8 de Abril último por los acreedores á dicha testamenta ría , se ha acordado entre otras cosas que se cite y emplace á todos los demas intere sados y…</t>
  </si>
  <si>
    <t>Serra, Pedro</t>
  </si>
  <si>
    <t>Pedro Serra</t>
  </si>
  <si>
    <t>…r y Don Manuel de Rebolleda. En seguida se les hicieron varias preguntas por mu chos délos concurrentes, á ias que satisficieron pronta y debidamente, dis tinguiéndose entre estos D. Pedro Serra y D. Eugenio Calderón en su cla.. se de mayores de gramática latina; D. Leonardo y D Francisco Gómez -en -la de medianos; D. Josef Félix del Campo, D. Josef Gallo, D. Juan Ca no y D. Pedro Capillas en la de menores ¿ D. Adrián Coilantes y Ramón</t>
  </si>
  <si>
    <t>Serrano, Josef</t>
  </si>
  <si>
    <t>Josef Serrano</t>
  </si>
  <si>
    <t>…n cabeza de D. Manuel Galet, y el otro de go$ rs. en la de D. Gaspar ide Sobremonte sobre las sisas de carnecerías y aceite, perteneciente todo a la testa mentaría y ocurrencia de D. Josef Serrano. Quien quisiere hacer postura acuda por Ja audiencia de dicho señor y escribanía del número de D. Alfonso de Yévenes, que se le admitirá. En la Real y suprema ¡unta de apelaciones de los juzgados de correos de Espa ña e Indias se hallan pendientes autos sobre…</t>
  </si>
  <si>
    <t>Serrano, Lorenzo</t>
  </si>
  <si>
    <t>Lorenzo Serrano</t>
  </si>
  <si>
    <t>…ecipitación mas desordenada al ver muertos muchos de sus secuaces á bayonetazos. Pasó en seguida la demas tropa con admirable orden, y al punto desta qué al capitán de Extremadura D. Lorenzo Serrano para que con icq hom bres en tres piraguas se apoderase de los cañones que estaban, colocados en el estero que cubría el flanco derecho de mi campamento, y enfilaban el pa so de la barra ; cuyo oficia!, desempeñando á toda mi satisfacción su comisión ahuyentó…</t>
  </si>
  <si>
    <t>…e madura, de los cuales el primero tiene en su favor, á mas de haber distri buido mis órdenes con la mayor puntualidad, como su compañero, la reco mendación de haber acompañado al capitán D. Lorenzo Serrano en la ope—</t>
  </si>
  <si>
    <t>…nel de egército el teniente coronel veterano comandante de la pri mera división de milicias del Norte D. Carlos María Llórente; de tenientes coroneles en su clase á- Jos capitanes D. Lorenzo Serrano, D. Alejandro María Arango, D. Gregorio Carrizo de Llano, de Extremadura, y Doit Tuan Ateaga, de realistas de Perote; de capitanes al teniente D. Juan Basave, de Extremadura, y D. Manuel Manso, de realistas de Tampieo; de te nientes á los subtenientes D. Migu…</t>
  </si>
  <si>
    <t>Sesma, Ramón</t>
  </si>
  <si>
    <t>Ramón Sesma</t>
  </si>
  <si>
    <t>…boración de sal chichones, construcción de reductos, y colocación de trincheras y artillería en unas montañas asperísimas y barrancas intransitables. También recomien do á V. E. á D. Ramón Sesma, quien, como ya he menifestado, me ha acompañado en clase de aventurero; y por el ascendiente que ha logrado sobre estos pueblos, y sus conocimientos del terreno,ha hecho servicios muy particulares. Y lo traslado á V. S. para su satisfacción. „Lo que particip…</t>
  </si>
  <si>
    <t>Severoli</t>
  </si>
  <si>
    <t>…Portugal la Archiduquesa Leopoldina y de otros personages han vuelto de su viage á Badén. Monseñor Leardi, nuevo nuncio del Papa en Austria, llegó aquí ante ayer. Su predecesor el cardenal Severoli permanecerá aquí hasta ñn de este mes, y partirá en seguida para Roma. ALEMANIA. Francfort 23 de Mayo. Acaba de publicarse la respuesta del senado y del ayuntamiento de esta ciudad á los cargos de la Dieta, relativamente á los judíos de Francfort. El senado y…</t>
  </si>
  <si>
    <t>Sevilla, Josef María de</t>
  </si>
  <si>
    <t>Josef María de Sevilla</t>
  </si>
  <si>
    <t>…aro. También se recogieron 2 caba llos ensillados, 8 en pelo y 2 machetes, habiendo regresado á esta el 31. „ El i.° del corriente despaché al rumbo del Cuisco al alférez de navio D. Josef María de Sevilla con 40 infantes de marina y urbanos, 25 dragones de Moneada y 35 realistas, quien regresó el 3, y acompaño su parte original. ,, Dios guarde á V. muchos años. Acambaro 4 de Noviembre de 1816.== Ramón Reguera. =Sr. comandante militar de la provincia de Vallado…</t>
  </si>
  <si>
    <t>Shnakemberg, Juan</t>
  </si>
  <si>
    <t>Juan Shnakemberg</t>
  </si>
  <si>
    <t>…f que en íS de Febrero de 1806 salió de Lisboa con dirección á Cheburg, en Francia, capitaneado por Juan Pedro Jansen, vecino dei Monte de Hamburgo, por enfermedad de su anterior capitán Juan Shnakemberg, y fue apresado por el corsario español titulado Santo Cristo del Pardo, su armador D. Florencio Lozano, vecino de esta corte, para que en el preciso y perentorip término de cuatro meses, contados desde la publicación de este aviso, se presenten en dicho supr…</t>
  </si>
  <si>
    <t>Sidmouth</t>
  </si>
  <si>
    <t>…echo encima de una carreta; pero habiendo acudido un destacamento del primer regimiento de dragones, los cercó y condujo á la cárcel. Ayer noche se dió noticia en la secretaría de lord Sidmouth de que al gunos centenares de personas se hablan reunido en la calle de Skiner, y da ban muestras de estar resueltos á libertar al marinero Cashma», que debía ser ahorcado al dia siguiente como uno de los promovedores del motín de Spafields. Inmediatamente se…</t>
  </si>
  <si>
    <t>…misibles. Se dice que el dia 12 partirá el duque de Wellington para el continente, y se cree que irá en derechura á Cambray, donde permanecerá algunos meses. En virtud de orden de lord Sidmouth de 26 de Abril han sido conduci dos la semana pasada tres presos á la cárcel de Exeter, llamados Juan Johnstone, Samuel Drummond y Josef Healay. Se dice que son reos de alta trai ción , y por tanto los han puesto en encierros separados. El uno es cirujano. El…</t>
  </si>
  <si>
    <t>…ado, no duró mas que cinco minutos. GRAN BRETAÑA. Londres 77 de Junio. CAMARA DE LOS JARES. Después de haberse ocupado la Cámara en algunos asuntos de interes pri vado, se levantó lord Sidmouth y dijo: ,,Hallándose sobre la mesa el infor me de la junta secreta, presento á la Cámara un pro&gt;ecto de ley para con tinuar la suspensión del acta de habeas Corpus, convencido íntimamente de que hay una urgente necesidad para ello. En otra sesión expondré las…</t>
  </si>
  <si>
    <t>Sierra, Nicolás María de</t>
  </si>
  <si>
    <t>Nicolás María de Sierra</t>
  </si>
  <si>
    <t>…eal mano de S. M., y felicitarle por el matrimonio contraido con la Rei na nuestra Señora Doña María Isabel Francisca de Braganza, los co misionados de la universidad de Salamanca D. Nicolás María de Sierra, del Consejo Real, y el M. R. P. Fr. Vicente Cuadrado, teniente de vicario ge neral de la orden de ios Mínimos de S. Francisco de Paula, acompañados del Excmo. señor marques de Alcañíces, juez conservador, y de otros indivi duos del gremio y claustro de la mi…</t>
  </si>
  <si>
    <t>…Estado, y nombrado ministro plenipotenciario de S. M. en la Suiza, del limo. Sr. D. Ignacio Martinez de Viliela, consejero de Castilla con hono res de la cámara, y de los señores D. Nicolás María de Sierra, del propio consejo, y D. Tomas de Arias, auditor del tribunal de la Rota, y canónigo de la metropolitana de Zaragoza; de los cuales el primero dijo á S. M. en tre otras cosas lo siguiente: „ Señor: La universidad literaria de Zaragoza nos ha comisionado para…</t>
  </si>
  <si>
    <t>…tableciese al ser y estado que tenia cuando se hallaba al cuidado del limo. Sr. D. Josef Óofon, se sirvió nombrar por su Reai resolución, circulada en 11 de No viembre de 1814, al Sr. D. Nicolás María de Sierra, ministro del Consejo, para que sirviese esta comisión en los mismos términos y con las propias fa cultades que sus antecesores; y ahora con motivo del fallecimiento del dicho Sr. D. Nicolás ha tenido á bien S. M. por su Real cédula de de Julio próximo nombra…</t>
  </si>
  <si>
    <t>Sierra, Pablo</t>
  </si>
  <si>
    <t>Pablo Sierra</t>
  </si>
  <si>
    <t>…ar á las abejas. En lns artes y otras industrias fueron premiados distintos artesanos, y varias mugeres que se distinguieron en el hilado de lino. De los cuales entre los primeros D. Pablo Sierra lo fue por haber establecido la fabricacion de hute en lienzo y seda, que antes no existia en la provincia; y entre las segundas merece un lugar distinguido Doña María Ventura Perez, vecina del puerto de Cuchillero, que adl::mas de haber beneficiado lnediante…</t>
  </si>
  <si>
    <t>Sierra, Vicente</t>
  </si>
  <si>
    <t>Vicente Sierra</t>
  </si>
  <si>
    <t>…l castillo de Atores, dependiente de la pla za de la Havana, á D. Diego de Montalvo, teniente coronel retirado en la misma: la ayudantía del castillo del Morro en la propia isla á D. Vicente Sierra, teniente del regimiento de infantería de Navarra; y la del de S. Car los de la Cabaña á D. Josef Manuel González, que servia igual empiecen ei del Príncipe___ También se ha servido S. M. conceder honores de auditor de guerra de egército y provincia á D. Blas…</t>
  </si>
  <si>
    <t>Silva</t>
  </si>
  <si>
    <t>…I. el gran duque. Algunos políticos creen que su viage á Vie na es el resultado de una negociación entablada entre las cortes de Nápoles y Austria por mediación de la nuestra. El Señor Silva, encargado de nego cios de Nápoles, ha recibido muchos correos de su corte; pero hasta ahora no se sabe qué especie de negocios es de la que se está tratando. Venecia 21 de Marzo. Según las últimas noticias recibidas de Corfú ios ingleses forman grandes almac…</t>
  </si>
  <si>
    <t>Simes, Juan</t>
  </si>
  <si>
    <t>Juan Simes</t>
  </si>
  <si>
    <t>…del año de 1808 destinadas para la quema en la admi nistración principal del correo de Zaragoza, según ordenanza, se halló un vale Real de 150 pesos con el núm. 225510 á favor de D. Juan Simes, que debió presentarse en aquel tiempo. Lo que se avisa al público para que los interesados á quienes pertenezca acudan á la dirección general de cor reos, en donde le será entregado dicho vale legitimando sus personas. Con motivo del fallecimiento de Josef V…</t>
  </si>
  <si>
    <t>SÍntra, Micaela de</t>
  </si>
  <si>
    <t>Micaela de SÍntra</t>
  </si>
  <si>
    <t>…dable de aplaudirlo. ,,Tengo el honor de acompañar á V. E. una lista del donativo de este ayuntamiento, de los gefes y otros vecinos pudientes. Después de adjudica dos los dotes á Doña Micaela de SÍntra,Doña Micaela Calzada y Doña Ana Dominga Guzman ,que han sido las novias agraciadas , el sobrante de la con tribución se ha invertido en los gastos de la plaza de toros, en orquestas, en dar de comer á los pobres de S. Juan de Dios y la cárcel, y en dos bailes…</t>
  </si>
  <si>
    <t>Sinués, Serapio</t>
  </si>
  <si>
    <t>Serapio Sinués</t>
  </si>
  <si>
    <t>…lez, de las de Cataluña y Extremadura; el cuarto, D. Bartolo mé Pinera, de las de Andalucía; el quinto , D. Máximo Manuel Lorente, de las de Castilla la Vieja y Galicia; el sexto, D. Serapio Sinués, de las de Aragón , y el séptimo vocal, secretario D. Manuel Damian Perez, de las de Solan de Cabras y Alcantud en dicha Castilla la Nueva. En virtud de providencia del Sr. D. Joaquín de Almazan , del Consejo de S. M., teniente corregidor de esta heroica vill…</t>
  </si>
  <si>
    <t>…ancias y documentos,que acrediten la re valida y méritos que hayan contraido en el egército ó en la práctica de su facultad en los pueblos, al proto-médico de Jos Reales egércitos Don Serapio Sinués, médico de cámara de S. M., é individuo vocal de la Real junta superior gubernativa de medicina del reino, residente en Madrid, quien har t Dv propuestas á S. M. con arreglo á la Real cédula de 12 de Febrero del año anterior, y debida sujeción al mérito y cir…</t>
  </si>
  <si>
    <t>Sinz, Ctaudio</t>
  </si>
  <si>
    <t>Ctaudio Sinz</t>
  </si>
  <si>
    <t>…4 Jas 12 de la mañana en las puertas de la audiencia del Sr. D. Joaquín Almazan, del Con sejo de M., teniente corregidor de esta muy heroica villa, por ante el escribano de número D. Ctaudio Sinz. En virtud de providencia del Sr. D. Manuel Vicente de Torres, ministro del Consejo en el supremo de Castilla, y juez interventor de la casa y estado&gt; del ex celentísimo Sr. duque de Tatnames, dada en 9 del corriente, y refrendada por el es cribano de provinc…</t>
  </si>
  <si>
    <t>Sion, Luis Folgueras</t>
  </si>
  <si>
    <t>Luis Folgueras Sion</t>
  </si>
  <si>
    <t>…apercibimiento que pasado dicho término, y no compare ciendo, sin mas citación se procederá á lo que haya lugar. Sátiras de Juvenal, traducidas en verso por el limo, monseñor Ltc. D. Luis Folgueras Sion, camarero de S. S., ablegado apostólico, deán de la santa iglesia de Orense, y académico correspondiente de las Reales academias de la historia y lati na matritense. Corregir el vicio es propósito de la sátira, unas veces ridiculizándole, y otras reprendiéndo…</t>
  </si>
  <si>
    <t>Sisto, Tomas de</t>
  </si>
  <si>
    <t>Tomas de Sisto</t>
  </si>
  <si>
    <t>…. Tejupiico Febrero 15 de 1817.= Juan Valentín Amador. =;’Sr. coronel D. Matías Martin y Aguirre.” Cádiz 11 de Noviembre. Deseoso el capitán retirado del Real cuerpo de Artillería D. Tomas de Sisto, socio de número de la Real sociedad económica de Cádiz, de realizar las intenciones de esta corporación patriótica, empeñada dias há en conveneersede un modo práctico de las ventajas que promete el nuevo descubrimien to del alumbrado por medio del gas inflam…</t>
  </si>
  <si>
    <t>Situé, Ramón</t>
  </si>
  <si>
    <t>Ramón Situé</t>
  </si>
  <si>
    <t>…espacho de la imprenta Real. Se suscribe en dicho despacho, y en las provincias en todas las ad ministraciones principales y agregadas de correos. El Señor alcalde de casa y corte D. Ramón Situé, á quien está cometida la egecucion de una Real facultad, ha señalado el dia 28 del corriente á las 12 de su mañana en la sala primera de señores alcaldes para el remate de una huerta titulada de Casa-puerta, situada entre el puente Verde del Real canal de Ma…</t>
  </si>
  <si>
    <t>Sixto, Cayetano</t>
  </si>
  <si>
    <t>Cayetano Sixto</t>
  </si>
  <si>
    <t>…larán en el almacén de libros de Laborda, calle Ma yor, portal de Manguiteros, y en la librería de Amposta, calle del Príncipe. Curso de humanidades ó bellas letras, dispuesto por D. Cayetano Sixto, presbí tero: un tomo en 8.° marquiIJa, impreso en 1798. Véndese á 10 rs. en papel en el almacén de la imprenta Real. En el almacén de estampas de la calle Mayor, frente á la casa del conde de Oñate, se vende el Niño Dios, dibujado y grabado en cuartilla de m…</t>
  </si>
  <si>
    <t>Skeremetieu</t>
  </si>
  <si>
    <t>…quien suministra de su bolsillo particu lar un fondo considerable para él, habiéndose hecho ya con este objeto en muy poco tiempo algunas suscripciones por grandes cantidades. El conde Skeremetieu, entre otros, ha ofrecido por sí solo la suma de dos millones y medio de rublos. Las piedras fundamentales de los grandes edificios que han de formar el local de este establecimiento se pondrán durante la permanencia de la familia Imperial en Moscow, y las ob…</t>
  </si>
  <si>
    <t>Smith</t>
  </si>
  <si>
    <t>…sentado con el suyo la parte de Varela Cagigas en el supre mo Consejo de Almirantazgo, mejorando la apelación; por cuyo supremo tribunal se ha acordado dar traslado á la parte del capitán Smith, y mediante al tiempo trascurrido que se publique en la gaceta y diario de esta corte, para que en el ca so de que alguno de los procuradores ó agentes de negocios tuviese poder de di cho capitán dinamarqués acuda á la referida superioridad á usar de su derec…</t>
  </si>
  <si>
    <t>…objeto de recoger jas preciosas antigüedades que estaban almacenadas en la‘antigua Carfago, y que el Dé i regala al'Príncipe Regente. Esta colección se hrzó bajó la dirección del capitán Smith, oficial de la ma rina Real , quien por espacio de mucho tiempo recorrió las costas de Africa con Una escolta de genízaros. El Bey de Fez, que se hallaba presente en una de las audiencias que‘el Dei dio al capitán Smith, dijo que un ingles había Viajado ccrn…</t>
  </si>
  <si>
    <t>Snow, Gedeon</t>
  </si>
  <si>
    <t>Gedeon Snow</t>
  </si>
  <si>
    <t>…o de 1797 fue apresado por el corsario francés Neuf&gt;Thermidor, su capitán Troper Cavalier, y conducido á la ciudad de Málaga el bergantín americano nombrado la Betsy (Isabela), su capitán Gedeon Snow; y ha biéndose suscitado pleito sobre si en dicho apresamiento se había violado el territo rio español, se remitieron los autos al Consejo supremo de la Guerra á virtud de apelación interpuesta por el ciudadano francés Troper Cavalier, los cuales después de v…</t>
  </si>
  <si>
    <t>Sobrado, Felipe de</t>
  </si>
  <si>
    <t>Felipe de Sobrado</t>
  </si>
  <si>
    <t>…ario del Rey nuestro Señor,la hice escribir por su mandado. = El duque del Infantado. = D. Bernardo Riega. =D. Antonio Alvarez de Contreras. = D. Juan Antonio González CarriIlo. = D. Felipe de Sobrado. = Registrada, Aquilino Escudero. = Teniente de Canciller mayor, Aquilino Escudero. En atención á los distinguidos servicios y mérito del Excmo. Sr. D. Juan Francisco Nuñez del Castillo, brigadier de los Reales egérciros, y teniente coronel del regimiento inf…</t>
  </si>
  <si>
    <t>…cretario del Rey nues tro Señor, la hice escribir por su mandado.rrEl duque del Infantado. = Don Josef Antonio de Larrumbide. = D. Juan Benito Hermosi!la. = D. Manuel de Torres. = D. Felipe de Sobrado. = Registrada Aquilino Escudero.^Tenien te de canciller mayor , Aquilino Escudero.. En oficio de 12 de Setiembre último participa al Excnlo. Sr. Secretarlo del despacho de Marina desde la Guaira el comandante de Marina del apos tadero de Puerto-Cabello que po…</t>
  </si>
  <si>
    <t>Sobrado, Manuel María de</t>
  </si>
  <si>
    <t>Manuel María de Sobrado</t>
  </si>
  <si>
    <t>…los discípulos D. Policarpo Aragón , D. Josef Martínez y Yanguas, D. Domingo de Arribas y Cáceres, D. Antonio López de Córdoba, D. Ignacio Clemente, D. Josef Eu genio de Sobrado y D. Manuel María de Sobrado, y sorteándose entre ellos el orden con que debían ser examinados, explicaron la teoría del arte con ar reglo al impreso que se distribuyó entre los concurrentes, y contestaron con aquella soltura y despejo que nace del íntimo convencimiento y ciencia de lo q…</t>
  </si>
  <si>
    <t>Sobrevía, Josef</t>
  </si>
  <si>
    <t>Josef Sobrevía</t>
  </si>
  <si>
    <t>…Junio. La Real sociedad aragonesa de amigos del pais, establecida en esta ciu dad , celebró junta general extraordinaria el 30 de Abril último con asisten cia del director segundo D. Josef Sobrevía, canónigo de esta santa iglesia, de los oficiales de ella y un número respetable de socios; y habiendo hecho en trar á los alumnos que se dedican al estudio de la economía política bajo la dirección del catedrático del establecimiento por S. M., que lo es de…</t>
  </si>
  <si>
    <t>Sobrevia, Josef</t>
  </si>
  <si>
    <t>Josef Sobrevia</t>
  </si>
  <si>
    <t>…de figuras á D. Gaspar Safesa , en la de cabezas á D. Lorenzo Viscasillas, en la de prin cipios á D. Eduardo Vicente. Todos se presentaron á recibirlos de mano del vice-presidente D. Josef Sobrevia en la junta ordinaria de 6 del corrien te, quien les hizo un breve y expresivo discurso para manifestarles lo apre ciable que habían sido á la academia sus tareas, y excitarlos á que conti nuasen la carrera emprendida con el debido esmero. También dio gracias…</t>
  </si>
  <si>
    <t>Sola, Francisco</t>
  </si>
  <si>
    <t>Francisco Sola</t>
  </si>
  <si>
    <t>…ustamente los premios de emulación. Por resultado de estos antecedentes ha tenido á bien la junta adjudicar los tres primeros premios de 5 5 pesos cada uno á D. Ruperto Sacristán, Don Francisco Sola y D. Nicasio Martin; y los tres segundos de 35 pesos á Don Francisco Ceferino de Ulacia, D. Gerónimo Rivas y D. Manuel Burrieza. Y teniendo en consideración que D. Antonio Salcedo, D- Juan Guerra y Don Pedro González Perez han igualado en el mérito de la oposición á los últi mos…</t>
  </si>
  <si>
    <t>Sola, Mariano</t>
  </si>
  <si>
    <t>Mariano Sola</t>
  </si>
  <si>
    <t>…cuya dotación son unos 6'3 rs. vn. sobre los propios y arbitrios, y pagados en tres plazos iguales Se admiten memoriales hasta el dia 15 del próximo Agosto, y deberán dirigirse á D. Mariano Sola, alcalde pri mero en dicho pueblo. Principios elementales de estrategia en diálogo entre un general y un subalter no; por el brigadier de infantería D. Juan Sánchez Cisneros, individuo de mérito de varios cuerpos científicos de Europa en la clase de ciencias…</t>
  </si>
  <si>
    <t>Solaba, Francisco</t>
  </si>
  <si>
    <t>Francisco Solaba</t>
  </si>
  <si>
    <t>…en frascos de precio desde 22 á 48 rs. vn, en la calle de Segovia, núm. i.°, cuarto en tresuelo, esquina á la del Azotado , adonde podrán dirigir sus cartas y pe didos con sobre á D. Francisco Solaba los sugetos de fuera de la corte que quieran surtirse de ella. En cada frasco se hallará impreso el modo de usarla</t>
  </si>
  <si>
    <t>Solana, Ignacio Gutiérrez</t>
  </si>
  <si>
    <t>Ignacio Gutiérrez Solana</t>
  </si>
  <si>
    <t>…Pedro oainz de Baranda, vocal de la junta de dirección de la Real casa de niños desamparados ; D. Santiago Antonio Ilarraza, capellán de honor de S. M , con opcion a la de numero; D. Ignacio Gutiérrez Solana, veedor general de la Real casa, D, Francisco Fernandez del Pino, regente de la audiencia de Caceres, D. Francisco Scarlati, contador general de la Real casa, con op ción a la de numero; D Juan Florín, oficial de la secretaría del despacho villaje*Madrid' ^ 3…</t>
  </si>
  <si>
    <t>Solana, Tadeo</t>
  </si>
  <si>
    <t>Tadeo Solana</t>
  </si>
  <si>
    <t>…4, quedando enteramente dispersas las gavillas, regresamos á este punto, habiendo destacado desde el Comedero una partida fuerte al mando del capitán de dragones de Nueva-Galicia D. Tadeo Solana, por haber te nido noticias que Hermosillo con 30 rebeldes se hallaba en un rancho lla mado las Barañas con un hijo suyo; que el primer dia de nuestras operacio nes huyó mal herido, y regresó sin haberlo encontrado. Por nuestra paite no hubo mas desgracia que…</t>
  </si>
  <si>
    <t>Solano, Francisco</t>
  </si>
  <si>
    <t>Francisco Solano</t>
  </si>
  <si>
    <t>…a, Condescendiendo el Rey con la instancia de la marquesa de la Sola na, condesa del Carpió, y de la marquesa viuda del Socorro, viuda la pri mera, y madre la segunda del teniente general D. Francisco Solano, capitán general que fue de Andalucía, y gobernador de la plaza de Cádiz, tuvo á bien mandar en 27 de Julio del año anterior que se formase la correspon diente sumaria en averiguación de la conducta que observó el expresado ge neral en los movimientos y ocurr…</t>
  </si>
  <si>
    <t>Solano, Josef</t>
  </si>
  <si>
    <t>Josef Solano</t>
  </si>
  <si>
    <t>…e encargaron los generales Ulloa y Barceló, á cuyas inmediatas órdenes se ha llaba.__ Resuelta por el Rey el año de 1780 la importante expedición de Am erica al mando del teniente general D. Josef Solano, fue uno de los es cogidos con el navio Genaro para formar parte de la escuadra , que tan in teresantes servicios había de hacer en aquellos dominios, y debía proporcio narle nuevas ocasiones en que distinguirse: asi se verificó en la toma de Panzaco!a;en la…</t>
  </si>
  <si>
    <t>Soler, Tadeo</t>
  </si>
  <si>
    <t>Tadeo Soler</t>
  </si>
  <si>
    <t>…monacid de Zurita para poder celebrar una feria anual en el mes de Se tiembre , desde el dia 6 hasta el 13 inclusive, y un mercado en los jueves de cada semana. Por el juzgado del Sr. D. Tadeo Soler, del Consejo de S. M. con honores en el</t>
  </si>
  <si>
    <t>…tasada en 1.645185 rs., y la otra contigua á la anterior, con fachada á dichas dos calles, núm. 2, tasada en 189333 rs't &lt;Pie se venden para pago de acreedores por el juzgado del Sr. D. Tadeo Soler, del Consejo de S. M., alcalde decano de la Real casa y corte, por la es cribanía de provincia del Sr. D. Juan Garrido al cargo de su habilitado, y han sido rematadas en las dos terceras partes de su tasación en moneda metálica, y para su nuevo remate está se…</t>
  </si>
  <si>
    <t>…sado, y que al mismo fin lo circule á las justicias de los pueblos de su distrito; y del recibo de esta me dará aviso. Dios guarde á V. muchos años. Madrid 30 de Abril de 1817. El Sr. D. Tadeo Soler, del Consejo de S. M. con honores en el Real y supremo de Castilla, alcalde decano de la Real casa y corte, se ha servido señalar el miér coles 28 del corriente á las 12 de su mañana en la escribanía del Sr. D. Juan Gar rido, al cargo de su habilitado, para e…</t>
  </si>
  <si>
    <t>…al bien de la monarquía.” El día 19 del mismo tuvieron la honra de felicitar á S. M. por el dichoso alumbramiento de la Reina nuestra Señora, á nombre de la ciudad de Lé rida, el Sr. D. Tadeo Soler, ministro honorario del Consejo Real, y alcalde decano de la Real casa y corte; D. Francisco Fulgosio , teniente de Reales guardias Waionas, y D. Ignacio Bufalá, guardia de la Persona del Rey; el primero de los cuales dijo: ,,Señor: La muy noble ciudad de Lér…</t>
  </si>
  <si>
    <t>Solimán-bajá</t>
  </si>
  <si>
    <t>…m. 9. [5 cuartos.] 77 m GACETA DE MADRID DHL MARTES 21 DE ENERO DE 1817. TURQUIA. Con stant inopia 25 de Noviembre. Según las cartas de S. Juan de Acre de 7 de Setiembre, el lugar-teniente Solimán-bajá hacia de cuatro meses á esta parte una guerra muy sangrienta á los ansaris,que profesan la secta mas intolerante de los mahometanos. Per seguíalos á fuego y sangre hasta en las montañas, habiendo arruinado varias de sus aldeas, y se esperaba que estos severos…</t>
  </si>
  <si>
    <t>Solis, Josef</t>
  </si>
  <si>
    <t>Josef Solis</t>
  </si>
  <si>
    <t>…oronel D. Pedro Domínguez, que lo servia interinamente: el de Antioquía al coronel D. Hemeterio Urena, comandante de la plaza de la Guayra; y el del Rio Hacha al teniente coro nel D. Josef Solis , que sirvió interinamente el de Popayan. En España. La tenencia de Rey de la plaza de Peñíscola al teniente coronel D. Sebastian Angaita, capitán agregado al regimiento de infantería de Lorena: la primera ayudantía de la de Lérida á D. Manuel Rey, teniente d…</t>
  </si>
  <si>
    <t>Somaglia</t>
  </si>
  <si>
    <t>…el Em perador Alejandro á aquella capital. ITALIA. Roma jj de Setiembre. El 4 de este mes se celebró en presencia de S. S. una junta de la congre gación Sacrorum Ritnum, en que el cardenal Somaglia dió cuenta del ex pediente relativo á la beatificación y canonización del venerable siervo de Dios P. Francisco Posadas, del orden de Predicadores de la provincia de Anda lucía, en España. El cardenal Galleffi hizo también relación de otro expe diente sobre l…</t>
  </si>
  <si>
    <t>Some</t>
  </si>
  <si>
    <t>…sir Tomas Reade, ayudante general y coronel; sir Wingtrd, secretario militar, teniente coronel; sir Mansell, cuartel-maestre general, capitán; sir. Gorreguer, ma yor, ayudante del general Some; sir Pritckard, teniente, ídem; sir Píaking, capitán , adjunto del ayudante general. Artillería. Cincuenta piezas de batería, 24 de campaña y algunos morteros, todo en buen estado. Muchas píezás de artillería de reserva en los almacenes. Provisiones de boca.…</t>
  </si>
  <si>
    <t>Somerset, Cárlos</t>
  </si>
  <si>
    <t>Cárlos Somerset</t>
  </si>
  <si>
    <t>…, mera distinción, y entre ellos sir Francis Burdett, lord FitzwiUiam y lord Kinnaird. Se dice que el marques de Hunlly será nombrado gobernador del cabo de Buena-Esperanza, y que lord Cárlos Somerset irá á la India. Se asegura que la Princesa Carlota está en un estado que debe causar mu cho regocijo á la nación entera. Idem 2 4. Los periódicos de Carlisle anuncian que se ha manifestado una fiebre epi démica (el tiphus) en Escocia y en el norte de Inglater…</t>
  </si>
  <si>
    <t>Sommerset</t>
  </si>
  <si>
    <t>…Inglaterra, que ha ido á las aguas de Carlsbad, desde donde pasará á Londres, no volverá á esta capital. Algunos creen que va de embajador á Petersburgo, y otros que reemplazará á lord Sommerset en el gobierno del cabo de Buena-Esperanza. Se dice que lord Granville-Leveson-Gower vendrá aquí como embajador de Inglaterra. BOHEMIA. Carlsbad j de Junio, El príncipe Blucher llegó aquí el 31 de Mayo, y habita interinamente en la casa que está prevenida par…</t>
  </si>
  <si>
    <t>Somoza, Domingo Mas y</t>
  </si>
  <si>
    <t>Domingo Mas y Somoza</t>
  </si>
  <si>
    <t>…___ De 600 pesos de Mayo de 1808 : 381471 D Fran cisco Piañas Casal (de Cataluña): 382806 Domingo de Párramo: 391200, 391541,391732,392840, 393503 y 39^004 D. Andrés Ortiz: 396537 D. Domingo Mas y Somoza: 39735 t D. Andrés Ortiz: 397951 Banco Ra cional de S. Carlos: 399968 Doña Monica González: 406018 y 407829 D. Francisco Arxer é h-jo (.de Barcelona) 1408939 Doña María Antonia Sanz Merino: 409380 D. Josef Arratia : 41 1609 Doña María Antonia Sanz Meri no___…</t>
  </si>
  <si>
    <t>Somoza, Joaquín</t>
  </si>
  <si>
    <t>Joaquín Somoza</t>
  </si>
  <si>
    <t>…ta la rendición del fuerte consta del estado que adjunto dirijo á V. E. con la relación de los efectos que se han encontrado. El ayudante mayor de dragones de la Union graduado de capitán D. Joaquín Somoza, que no se menciona en este parte por haber marchado voluntariamente en la colum na de ataque, fue el primero que subió á la azotea de la casa fuerte ; arrió el pabellón insurgente, y enarboió el del Rey que llevaba al efecto. Tam bién marchó á la cabeza de^…</t>
  </si>
  <si>
    <t>Sopeña, Ramón</t>
  </si>
  <si>
    <t>Ramón Sopeña</t>
  </si>
  <si>
    <t>…l re gimiento de infantería de Lorena: la sargentía mayor de la plaza de Hostalrich al capitán D. Josef Prats, teniente del regimiento de infantería de Vito ria: la de Alcántara á D. Ramón Sopeña, comandante del tercer batallón del regimiento de infantería de Lorena: la de Valencia de Alcántara al capitán D. Sebastian Bruget, teniente del regimiento de infantería de Extremadura; y la ayudantía del castillo de S. Antón de la Coruña á D. Francisco Anto…</t>
  </si>
  <si>
    <t>Soret, Víctor</t>
  </si>
  <si>
    <t>Víctor Soret</t>
  </si>
  <si>
    <t>…alladolid á Don Juan Arguelles Valdés. El Rey nuestro Señor por su Real decreto de i o de este mes se ha dig nado conceder honores de la Cámara de Guerra á los tesoreros generales D. Víctor Soret y D. Julián Fernandez Navarrete en atención á sus méri tos y servicios, y á ser considerados de la clase militar como tesoreros ma yores de guerra. El Rey nuestro Señor se ha servido admitir con la benignidad que tanto le distingue el homenage que le ha hecho D. Antonio Regas, visitador gen…</t>
  </si>
  <si>
    <t>Soriano, Vicente</t>
  </si>
  <si>
    <t>Vicente Soriano</t>
  </si>
  <si>
    <t>…del corriente á las n de la mañana abrirá en el Real jardín botánico de Madrid la enseñanza de botánica médica el profesor de esta cien cia en el estudio Real de Medicina práctica D. Vicente Soriano. A la hora expresada , y hasta fin de Junio, dará sus lecciones en el Jardin los martes, jueves y sábados de cada semana, siguiendo el método na tural 6 de familias del célebre Jussieu, como el mas propio para investigar las cualidades medicinales del reino v…</t>
  </si>
  <si>
    <t>37¿&gt; . Para hacer la corriente matrícula antes de dar principio á las lecciones de Botánica médica, deberán los que han de ser discípulos del catedrático Don Vicente Soriano presentarse en la plazuela de la Leña, núm. 20, cuarto principal, al secretario del Real estudio de Clínica D. Manuel Darnian Pé rez en los dias 8 y 9 del corriente desde las diez de la mañana hasta las dos de la tarde. En el lugar de Concejero del Real valle…</t>
  </si>
  <si>
    <t>Soto, Ignacio</t>
  </si>
  <si>
    <t>Ignacio Soto</t>
  </si>
  <si>
    <t>…rgué el mando de varias parti das por su mucha disposición; el alférez de mi compañía D. Francisco Bar bosa, que haciendo de ayudante comunicó mis órdenes, y el teniente gra duado D. Ignacio Soto por su mucho valor; el cabo segundo de cazadores de Fernando vn Diego Navarro, que mandaba la guerrilla de infantería que avistó primero á los rebeldes, y resistió su carga bizarramente. „Desde el 4 al 12 se hicieron otrascorrerías en persecución de los rebel…</t>
  </si>
  <si>
    <t>Soulean, Henrique</t>
  </si>
  <si>
    <t>Henrique Soulean</t>
  </si>
  <si>
    <t>…l car go de D. Custodio Henriquez, sita en la calle del Príncipe, que se le admitirá siendo arreglada. Cualquiera persona que tenga derecho á los bienes que quedaron por muerte de D. Henrique Soulean, vecino y del comercio que fue en la calle del Carmen de es ta corte, acuda ante el Sr. D. Joaquín Almazan, del Consejo de S. M., teniente corregidor de esta muy heroica villa, y escribanía propia del número de D. Cristó bal de Vicuña, dentro de 30 dias, cont…</t>
  </si>
  <si>
    <t>Soüs, Ignacio</t>
  </si>
  <si>
    <t>Ignacio Soüs</t>
  </si>
  <si>
    <t>…iza al capitán de húsares de este territorio D. Josef María Linarte , quien á todo riesgo y con la mayor oportunidad comunicó mis órdenes en todos los puntos, y el del subdelegado D. Ignacio Soüs , que con los pai sanos y peones de la fortificación trabajó con acierto y gusto en cuantas fagi nas se ofrecieron, por lo que no dudo que la bondad de V S. se servirá reco mendar á este fiel vecindario en consideración á lo mucho que ha padecido. „Dio$ guard…</t>
  </si>
  <si>
    <t>Souza, Raimundo Josef de</t>
  </si>
  <si>
    <t>Raimundo Josef de Souza</t>
  </si>
  <si>
    <t>…Reales Guardias de Alabarde ros, vacante por fallecimiento del capitán general marques del Castelar. Por el presente se cita, llama y emplaza á Doña Marta Juana Gallardo, viuda de D. Raimundo Josef de Souza, de nación portugués, capitán en el estado mayor del general Gazan, muerto por los fancescs en esta plaza y su Rea; sitio del BuenReliro en 5 de Abril de 1813, por espía del Gobierno español , y á los parientes mas inmediatos del citado capitán, para que en e…</t>
  </si>
  <si>
    <t>Spiegel</t>
  </si>
  <si>
    <t>…aquellas tropas haH observado una excelente disciplina. El Rey de las Dos- Sicilias confirió al general Walmoden, natural de Hannóver, la gran cruz d~ Id órden de S. Fernando; al general Spiegel la cruz de comendador de la lnisma órden, y al general conde de I-Iaugwitz la órden de S. Genaro. Los cinco coroneles de igual número de regimientos de qut! ~e componia el cuerpo file! egército han sido condecorados tambien con la árden de S. Fernando. Las in…</t>
  </si>
  <si>
    <t>Srnfield</t>
  </si>
  <si>
    <t>…a Marca para mejorar las escuelas protestantes de su distrito, y principalmente las de la baja Lusacia. ALEMANIA. Hambarqo 20 de Febrero. El Rey de Suecia ha perdonado al teniente general Srnfield y al coronel Gals, condenados á pena capital por el tribunal supremo de Cristíania. Lúe-</t>
  </si>
  <si>
    <t>St</t>
  </si>
  <si>
    <t>…que los periódicos franceses hablan de los magníficos preparati vos que hace la Princesa de Gales para su viage á Ispahan, los papeles de Londres de 5 de este mes anuncian que el coronel St. Leger había recibi do carta de esta Princesa, en que S. A. R. le avisa que piensa estar en Kensington (palacio Real cerca de Londres) dentro de poco tiempo. Mr. Ironimus, que hacia algunas semanas se hallaba en Inglaterra, envió á Douvres el i.° de este mes…</t>
  </si>
  <si>
    <t>St, Felipe de</t>
  </si>
  <si>
    <t>Felipe de St</t>
  </si>
  <si>
    <t>…mbién por varios dibujos que han presentado, y representaban edificios, vistas de países y planos de puertos, un aprecio muy particular de los señores de la junta y del Excmo. Sr.'D. Felipe de St. Marcq, capitán general de este reino, que asistió al primero de dichos actos; habiendo manifestado S. E. una parti cular satisfacción, y exhortado á los alumnos á la continuación de sus estu dios con aplicación, dando gracias á los maestros por su buen zelo…</t>
  </si>
  <si>
    <t>St-John</t>
  </si>
  <si>
    <t>…s fueron el lord conde de Westmoreland, el duque de Athol, el marques de Buckingham y el conde de Aberdeen. Entre los que se opu sieron á él se notan los siguientes: lord Erskine, lord St-John, el conde Grosvenor, lord Aukland y el duque de Sussex. Nos limitaremos á extractar el discurso del marques de Buckingham, quien ha adquirido en esta ocasión nuevos títulos al reconocimiento de su patria. ,,Considero, dijo el noble lord, la cuestión presente…</t>
  </si>
  <si>
    <t>Sta, Josef</t>
  </si>
  <si>
    <t>Josef Sta</t>
  </si>
  <si>
    <t>…le satisfacción de participará V. E. que los comisionados individuos de la misma D. Magín Iglesias y Don Antonio Puig, que pasaron al punto de Camarasa y otros, con los señores el brigadier D. Josef Sta. Cruz, coronel del Real cuerpo de ingenieros, ins pector general de la obra nombrado por S. M., y el director facultativo Don Tomas Soler y Ferrer, avisan con fecha de 28 de este mes desde la Cuadra de Flix, que en el mismo dia se empezó el trabajo del canal…</t>
  </si>
  <si>
    <t>Sta, Ramón de Azpeitia Saenz de</t>
  </si>
  <si>
    <t>Ramón de Azpeitia Saenz de Sta</t>
  </si>
  <si>
    <t>…er dichas becas , y desempeñar los cargos de rectores y consiliarios, conforme á la propuesta hecha por la junta en la forma siguiente: Para el de Santa Cruz de Valladolid. Rector D. Ramón de Azpeitia Saenz de Sta. María, canónigo, dignidad de arcediano de Sepúlveda en la santa iglesia de Segovia , y auditor honora rio de la Nunciatura. Consiliario i.° D. Josef María Diez Quijada y Oveje ro. Idem 2.0 D. Clemente García Escudero y Urrutia. Idem 3.0 D. Pablo Govantes. D.…</t>
  </si>
  <si>
    <t>Stading</t>
  </si>
  <si>
    <t>…a,Príncipe Oscar,fue encargado por S. M. de arengar á las tropa*, á quienes anunció que el Rey los había juntado para arreglar sus intereses, á cuyo efecto estaba nombrado el feld-mariscal Stading. ALEMANIA. Lubeck 6 de Febrero. La atención pública está actualmente fijada en los debates de la comisión reunida en Copenhague, con el fin de hacer un nuevo código de leyes para el ducado de Holstein. Este trabajo debe estar concluido para i.° de Marzo, y lu…</t>
  </si>
  <si>
    <t>Stafferd</t>
  </si>
  <si>
    <t>…u capitán Huffington, armado de 14 cañones y con 140 hombres de tripula ción, que salió de Baltimore el 3 de Agosto último con expediciones para la Havana ,y el barco la María ¡su capitán Stafferd , que salió del mismo puer to en 25 del propio mes, habiendo recibido á su bordo una numerosa guar nición. Se cree que estos dos buques enarbolarán en alta mar la bandera de Buenos-Aires , y es probable que sus instrucciones sean las mismas que las del capitá…</t>
  </si>
  <si>
    <t>Staífeldt</t>
  </si>
  <si>
    <t>…onunciar la sentencia siguiente: „E1 teniente genera! Haxthausen, el mayor Schroeder y el capitán Gruner quedan absueltos de Ja acusación fiscal. ,,Se condena á muerte al teniente general Staífeldt, acusado de haber im pedido hacer un movimiento al egército en retirada sin motivo y sin orden. „El teniente coronel Hals , acusado y convencido de haber entregado por capitulación la fortaleza de Fredericstad pudiendo defenderse todavía, será arcabuceado por…</t>
  </si>
  <si>
    <t>Sterling</t>
  </si>
  <si>
    <t>…amente al agua, y tuvo la felicidad de agarrar al marinero que es taba ya sumamente fatigado. En este intervalo el buque había andado ya tres millas, á pesar de las maniobras dfel capitán Sterling para que no corriese tanto; pero este dejó atras una lancha j la cuál ¡recogió al teniente y al mari nero. Luego que llegaron á la corbeta el capitán Sterling abrazó al teniente, y en un buen rato no pudo pronunciár und palabra de enternecimiento, y lo mismo…</t>
  </si>
  <si>
    <t>Steva, Rafael</t>
  </si>
  <si>
    <t>Rafael Steva</t>
  </si>
  <si>
    <t>…ritos excusen gene ralidades , y procuren ceñirse á lo mas substancial y útil. Las memorias que se remitan para concurrir á los premios se han de di rigir francas de portes al Dr. D. Rafael Steva, primer secretario de la aca demia , y han de estar escritas en español ó en latín. Huete 26 de Julio. El Dr. D. Rafael de Abreu y del Moral, corregidor de esta ciudad y partido , en cumplimiento de las superiores órdenes del Real y supremo Consejo de Castill…</t>
  </si>
  <si>
    <t>Stevvart</t>
  </si>
  <si>
    <t>…frecuentan esta ciudad se aumenta de d:a en día. Entre ellos se hallan S. A. I. el Archiduque Palatino de Hungría , los Príncipes Blucher, Schwartzenberg y el de Ja Tour y Taxis, lord Stevvart &amp;c. Se espera también á S. M. el Rey de Prusia, que debe venir á primeros de</t>
  </si>
  <si>
    <t>Stewart</t>
  </si>
  <si>
    <t>…ena $ de Abril* La Princesa de Gales llegó aqui la noche pasada, y se apeo en la fonda nombrada de la Emperatriz. S. A. R. se había propuesto ir á casa del emba idor de Inglaterra lord Stewart; pero había marchado el dia anterior á Kittsée. El ministro de Hannóver, conde de Hardenberg, se hallaba también ausente por algunos dias, y asi la Princesa se vio obligada á alojarse en una fonda. Permanecerá en Viena, según dicen hasta ti 12 , y continuará…</t>
  </si>
  <si>
    <t>…udeíist, el conde Mercy y Mr. Floret. El Príncipe de Kaunitz, nuestro e nbajador cer ca de la Sta. Sede, se adelantará á ellos para esperarlos en R &gt;ma. El embajador de Inglaterra lord Stewart ha obtenido licencia de su cor te para pasar á Londres, y saldrá dentro de ocho dias. Igualmente partirá para París el embajador de Francia, y se dice que otros varios ministros se guirán su egemplo. El Emperador saldrá para Gallitzia en los primeros días de…</t>
  </si>
  <si>
    <t>…Capo d’Istria, quien luego que se concluyan las confe rencias se pondrá en camino para volverse á Rusia, dirigiéndose por Varsovia á Moscow. Mr. Roberto Gordon, que debe suceder á lord Stewart, acaba de llegar á esta capital desde los baños déCarísbad, en donde ha estado qna tem porada. Aunque las noticias que se tienen de la salud del Príncipe de Hardemberg no son buenas, se espera no obstante que logrará restablecerse con las aguas de Pirmont, cu…</t>
  </si>
  <si>
    <t>Stirling</t>
  </si>
  <si>
    <t>…fecha de 11 de Febrero escriben de S. Juan de la Antigua, que el buque Hércules, mandado por el ex-conmódoro Brown, al servicio de los rebeldes españoles, que rué apresado por el capitán Stirling, y conducido á Antigua, ha sido condenado por infracción del acta de navegación, y ven dido con el cargamento. Se sabe que Brown temia caer en manos de los bu ques de guerra españoles enviados en su seguimiento, y había ido á las islas de Barlovento con inten…</t>
  </si>
  <si>
    <t>Sto</t>
  </si>
  <si>
    <t>…otas por D. Mariano Maelramany y Calatayud. Se hallarán á real en la librería de Barco, y la paráfrasis del Magníficat á tres cuartos. La cruz en laberinto que dispuso el angélico doctor Sto. Tomas para defenderse de los rayos y terremotos, adornada con cuatro estampas de nuestra Señora de Nie va, Santa Bárbara, S. Emigdio y Sto. Tomas. Se hallará en la librería de Barco, ca lle de Jas Carretas, á 2 rs. en negro y á 3 iluminada. EN LA IMPRENTA RE…</t>
  </si>
  <si>
    <t>Stoltzendorff</t>
  </si>
  <si>
    <t>…se experimentaba aqui un calor extraordinario, y ayer cayó una gran nevada. P RUSIA. Berlín 14 de Octubre. Han salido de aqui para Custrin el teniente general Diericke y el mayor general Stoltzendorff, comisionados para formar el proceso á Mr. de Massembach, que se halla preso en aquella plaza. Erfurt 14 de Octubre. Se continúa trabajando en las fortificaciones que se hallan en los contor nos de esta ciudad.__ En general el Gobierno prusiano hace en el dia…</t>
  </si>
  <si>
    <t>Strangford</t>
  </si>
  <si>
    <t>Núro» 126. [f cuartos.] 1121 GACETA DE MADRID DEL MARTES 21 DE OCTUBRE DE 1817. SUECIA. Stockolmo 12 de Setiembre. Se sabe que lord Strangford está tratando con nuestro ministerio de for mar un nuevo arancel. Esta noticia se ha recibido aqui con mucho regocijo, y se espera que se rebajarán los derechos impuestos sobre la introducción de nuestros productos en Inglaterra, y que los géneros coloniales…</t>
  </si>
  <si>
    <t>Strasoldo, Julio</t>
  </si>
  <si>
    <t>Julio Strasoldo</t>
  </si>
  <si>
    <t>…on la venida de nuestras tropas del reino de Nápoles, las que reci birán raciones en las provincias napolitanas, y después se mantendrán á ex pensas del Austria. Se asegura que el conde Julio Strasoldo debe reemplazar al conde Saurau en el gobierno de Milán. El archiduque Palatino se ha detenido aquí 24 horas, porque ha querido asistir á la instalación de los profesores del nuevo museo de Buda. El lunes último se enterró aqui el inspector del cementerio isr…</t>
  </si>
  <si>
    <t>Studer</t>
  </si>
  <si>
    <t>…tra sobre los huesos fósiles en Suiza ; el catedrático Cándolle sobre la geografía de las plan tas; el director de minas Lardy sobre las capas de yeso del Valais y del Tessino; el catedrático Studer sobre una especie particular de piedras halla das en Gemmi; Mr. Deluc sobre la forma exterior de una parte de las altas montañas de Saboya; en fin el -catedrático Pictet sobre el establecimiento de un aparato físico en el monte de .Sé Bernardo destinado á obs…</t>
  </si>
  <si>
    <t>Suarez, Diego</t>
  </si>
  <si>
    <t>Diego Suarez</t>
  </si>
  <si>
    <t>…án D, León Ramón del Valle. Para el de Oviedo en Salamanca. Rector D. Manuel Luciano Alemán. Consiliario i.° D. Manuel Barrio Ayuso. Idem 2.0 D. Antonio González Miranda. Idem 3.0 D. Diego Suarez. Capellán D. Domingo Ruirnonte. En puntual egecucion de estas soberanas resoluciones ha tomado la junta las providencias oportunas para que cuanto antes se realice la apertura de los citados cinco colegios mayores; y se anuncia al público á fin de que los su…</t>
  </si>
  <si>
    <t>…o , bien conoci do entre los literatos españole^, y con especialidad entre las musas sevillanas. El exquisito análisis y discernimiento con que respondieron D. Josef López Rubio , D. Diego Suarez y D. Manuel Romera á las cuestiones que se les propusieron sobre los principios generales de las bellas artes y de las bellas letras, y sobre los elementos de la gramática general, observaciones sobre el</t>
  </si>
  <si>
    <t>Suarez, Ignacio</t>
  </si>
  <si>
    <t>Ignacio Suarez</t>
  </si>
  <si>
    <t>…Joaquin Antonio Román, los Sres. Alzueta y Beratarrechea, D. Rafael Rodríguez, D. Juan de Dios Elias, los Sres. Bohe, hermanos y compa ñía, D. Mariano de Urbieia, D. Josef Uhicon, D. Ignacio Suarez, D. Francisco Antonio Abadía, D. Mariano Gil y D. Josef Vilar, últimos tenedores de 32 vales Reales, 15 de ellos de 150 pesos, creación de Enero de 1808, con los números 231689, 245110, 252506, 253818, 255204, 264499, 269131,273684, 283688, 287576, 288287, 29…</t>
  </si>
  <si>
    <t>Suleiman-bají</t>
  </si>
  <si>
    <t>…tableció pronto la tran quilidad. El culpable y sus cómplices están todavía presos. En el Gobierno de Trebisonda se han terminado felizmente las diferen cias que existían entre el gobernador Suleiman-bají y algunos derveis rebel des, y aquel ha vuelto á su residencia ordinaria; sin embargo se hallan to davía en insurrección varias partes de esta provincia. En otro distrito de la Turquía asiática están en guerra abierta eí gober nador de Mossul, Abdul-Dschelils…</t>
  </si>
  <si>
    <t>Suria, Francisco</t>
  </si>
  <si>
    <t>Francisco Suria</t>
  </si>
  <si>
    <t>…nda impresión; añadido el modo de criar los de nido, y también una ins trucción del método de criar los canarios, enfermedades que padecen, y remedios para curarlas: compuesto por D. Francisco Suria. Se vende en la librería de Gonzá lez, calle de Atocha, frente á los gremios. EN LA IMPRENTA REAL.</t>
  </si>
  <si>
    <t>…de los terremotos, con la oración para implorar los divinos auxilios por la interce sión de este santo: dibujado por D. Antonio Guerrero, y grabado en cuartilla de marca mayor por D. Francisco Suria*. asimismo dos diferentes Santas Teresas de Je sús, con otras muchas de igual tamaño de santos y santas de la mayor devoción, a 3 rs. cada una: hay otras muchas de diferentes tamaños, y todas ellas con el permi so de la Real academia de S. Fernando. Nota. En…</t>
  </si>
  <si>
    <t>Sydmouth</t>
  </si>
  <si>
    <t>…as y 43 vacas. GRAN BRETAÑA. Londres 77 de Abril. En la cámara de los Pares hizo ayer lord Grey la propuesta de que se presentase á la Cámara una copia de la circular dirigida por lord Sydmouth á los lores tenientes de los condados concerniente á los escritos sediciosos, y y habiéndose mandado presentar la circular, el conde Grey propuso que ex presaría su opinión sobre ella cuando se sometiese á las discusiones de la Cámara. Según las observaciones…</t>
  </si>
  <si>
    <t>…es la que ha hecho el capitán Ashton, acompaña una certificación jurada de seis pasageros de los mas principales, que deponen de la verdad de ella. Idem 8. El sábado por la noche lord Sydmouth y el lord corregidor de esta ca pital tuvieron noticia de que debía haber una insurrección en Londres aque lla misma noche; que los facciosos trataban de juntarse á las nueve de la misma en la plaza de S. Bartolomé, donde se celebra la feria , armados de pi c…</t>
  </si>
  <si>
    <t>Tabares, Manuel Montalvo y</t>
  </si>
  <si>
    <t>Manuel Montalvo y Tabares</t>
  </si>
  <si>
    <t>…u augusto enlace , á nombre de la villa de Peñafiel, los Sres. D. Josef Darguines, coronel de los Reales egércitos, y capitán supernumerario del regimiento infantería de Valcnqay; D. Manuel Montalvo y Tabares, coronel del mismo regimiento, y D. Josef María Puente, alcalde de Real casa y corte; el primero de los cuales arengó á S. M. en los términos siguientes: ,, Señor : D. Josef Darguines, caballero de la Real y distinguida orden es pañola de Carlos ni, y de la R…</t>
  </si>
  <si>
    <t>Tabla, María del Amparo</t>
  </si>
  <si>
    <t>María del Amparo Tabla</t>
  </si>
  <si>
    <t>…res, y premiadas semejantemente. Las so bresalientes fueron Doña Bárbara Esquivel , Doña María Encarnación Are nas, Doña María de la Paz Pórtela, Doña María de los Santos Romero y Doña María del Amparo Tabla, á cada una de las cuales se Ies asigno tam bién su dote &amp;c. como las anteriores. De la escuela de Sta. Justa y Rufina se examinaron seis, y la mas adelantada entre ellas fue Doña Ana Martínez. Por último de la escuela de niñas pudientes, establecida por el m…</t>
  </si>
  <si>
    <t>Tacón</t>
  </si>
  <si>
    <t>…hasta 170 de todas armas y 70 del cuartel de vecinos honrados, al mando del coronel D. Manuel Antonio Tar dío, y de los cholos de la compañía de artesanos 160, que mandó formar el mariscal Tacón, nombrando por su comandante al zeloso y activo vecino D. Juan Antonio Segovia ; y reforzadas con estos 400 hombres las trinche ras, se sacaron les dos cañones de á 4, que eran los únicos que teníamos, y se preparó la defensa, dejando en la plaza como 50 homb…</t>
  </si>
  <si>
    <t>…a Plata, cuyo denuedo es digno de los mayores elogios. Por último no debe perderse de vista que es necesario hacer justicia al autor que preparó la defensa de la Plata, que fue el general Tacón, cu ya previsión y zelo mandó construir las trincheras y los dos reductos de Ta rabuco y la Laguna; debiéndose á esta fortificación ademas de la defensa del dia el no haber sido atacada ya esta plaza en Abril por Fernandez, Rabelo y demas, que se entretuviero…</t>
  </si>
  <si>
    <t>Tacón, Miguel</t>
  </si>
  <si>
    <t>Miguel Tacón</t>
  </si>
  <si>
    <t>…ulo horroroso de sus sacrilegos atentados; ha recibido el gobernador militar del Potosí el siguiente parte, dado con fecha de 9 de este mes desde Tarabuco por el mariscal de campo D. Miguel Tacón, comandante general de la expedición de estas provincias, y es como sigue: „En este instante acabo de recibir parte del coronel D. Francisco Xavier de Aguilera, comandante de la expedición destinada á Sta. Cruz, quien des de Parí , dos leguas distante de dich…</t>
  </si>
  <si>
    <t>Tagle, Manuel</t>
  </si>
  <si>
    <t>Manuel Tagle</t>
  </si>
  <si>
    <t>…Banetti: para la vara de Alhendin á X). Francisco de Paula de Cárdenas : para la del Viso de Alcor á D. Amonio María de Rodas: para la de los valles de Soba, Rnesga y Villaverde á Don Manuel Tagle: para la de Baena á D. Manuel Valdés: para la de Lodosa á D. Esteban Ximenez Dorador : para la de Peñaranda de Bracamonte á Don Dámaso Megía Girón , corregidor que era de Rueda del Almirante: para la de Salas de ¡os Infantes á D. Josef Antonio Vázquez: para l…</t>
  </si>
  <si>
    <t>Talbot</t>
  </si>
  <si>
    <t>…rmos que mueren de ella en Turin gran parte son gente de distinción; por fortuna no han penetrado aun en esta ciudad las referidas calenturas. GRAN BRETAÑA. Londres 12 de Mayo. El conde Talbot debe reemplazar en el verano próximo á lord Whitworth en el gobierno de Irlanda, para lo que está haciendo ya sus prepa rativos. Se asegura que lord Exmouth debe marchar muy pronto á reemplazar al almirante Duckworth en el mando del apostadero de Terranova. U…</t>
  </si>
  <si>
    <t>Talomir, Juan</t>
  </si>
  <si>
    <t>Juan Talomir</t>
  </si>
  <si>
    <t>…la victoria, salió el coronel gra duado Urreiztieta con sus valientes, de los que llevaba á la cabeza las com pañías de cazadores de Granada y Union á las órdenes de sus capitanes Don Juan Talomir y graduado D. Faustino Narganes. No sé lo que tue primero, si presentarse nuestra tropa ai descubierto en la plaza , atacar á la bayoneta, ó huir despavoridos los enemigos de la brecha, corriéndose por su izquierda, en donde favorecidos de sus intactos parape…</t>
  </si>
  <si>
    <t>…escrito hasta el día en esta materia , es útil y aun preciso á todos los cirujanos de los pueblos. Nota. En la gaceta del jueves 24 de Julio último, pág. 785, Iín. 25, donde dice D. Juan Talomir, léase Falomir. EN LA IMPRENTA REAL.</t>
  </si>
  <si>
    <t>Tamariz, Mariano</t>
  </si>
  <si>
    <t>Mariano Tamariz</t>
  </si>
  <si>
    <t>…s tímulo de los ayuntamientos de los pueblos del reino. En la gaceta de 28 de Noviembre dirimo se insertó la felicitación becha á S. M. , á nombre de la villa de Castilblanco, por D. Mariano Tamariz y D. Nicolás Garbayo , el primero de los cuales se titulaba comisario de guer ra propietario, no estando rehabilitado en este empleo, y el segundo hono rario sin tener tales honores: lo que se previene de órdentsuperior. Eí Sr. D. Joaquín Almazan, del Consejo de S. M., teniente c…</t>
  </si>
  <si>
    <t>Tamayo, Ramón</t>
  </si>
  <si>
    <t>Ramón Tamayo</t>
  </si>
  <si>
    <t>…un amigo residente en Aranjuez ; dos tomos en 8.°__Elogios postumos de los Examos. Señores D. Domingo de Grandallana y D. Josef de Espinosa._Las costumbres del dia , co media: por D. Ramón Tamayo. Se hallarán en la librería de Escribano, calle de la* Carretas. — En dicha librería se venden las traducidas por el minino sugeto, y son: la Virtud sacrificada; el conde de Corlee, llamado el Grande, ó el hombre que no conoce el arte de la intriga, y las car…</t>
  </si>
  <si>
    <t>Tapia, Manuel</t>
  </si>
  <si>
    <t>Manuel Tapia</t>
  </si>
  <si>
    <t>…toda reserva,y tomando todas las precauciones que me parecieron opor tunas para que no se frustrase el golpe, que mediante á hallarse en la plaza la división volante del mando del teniente D. Manuel Tapia se completasen hasta 90 caballos, á las ordenes del teniente D. Juan de Avila para que sa liendo á las 10 de la noche se dirigiese al referido punto, con la prevención de que había de estar precisamente de vuelta en las primeras horas de la ma ñana del dia de…</t>
  </si>
  <si>
    <t>Tar, Manuel Antonio</t>
  </si>
  <si>
    <t>Manuel Antonio Tar</t>
  </si>
  <si>
    <t>…fenderse, todos los vecinos se armaron y acudieron á las trincheras. Verificada la reunión, se juntaron hasta 170 de todas armas y 70 del cuartel de vecinos honrados, al mando del coronel D. Manuel Antonio Tar dío, y de los cholos de la compañía de artesanos 160, que mandó formar el mariscal Tacón, nombrando por su comandante al zeloso y activo vecino D. Juan Antonio Segovia ; y reforzadas con estos 400 hombres las trinche ras, se sacaron les dos cañones de á 4, qu…</t>
  </si>
  <si>
    <t>Taracena, Teodoro</t>
  </si>
  <si>
    <t>Teodoro Taracena</t>
  </si>
  <si>
    <t>…los ensayos hechos con este trillo resulta que trilla con un par tanto corno los antiguos con dos pares y medio, por lo que dice que ha encargado ya uno para sí___En otra carta de D. Teodoro Taracena, vecino de Almazan, escrita en 11 del mismo á D. Manuel Tarancon, doctoral de esta iglesia catedral, se dice, que para trillar 20 carros de mies con los trillos comunes se necesitarán cuatro yuntas y dos dias, y que éon el de Herrarte se trillaron otros 20 ca…</t>
  </si>
  <si>
    <t>Tarancon, Manuel</t>
  </si>
  <si>
    <t>Manuel Tarancon</t>
  </si>
  <si>
    <t>…anto corno los antiguos con dos pares y medio, por lo que dice que ha encargado ya uno para sí___En otra carta de D. Teodoro Taracena, vecino de Almazan, escrita en 11 del mismo á D. Manuel Tarancon, doctoral de esta iglesia catedral, se dice, que para trillar 20 carros de mies con los trillos comunes se necesitarán cuatro yuntas y dos dias, y que éon el de Herrarte se trillaron otros 20 carros con una sola yunta en algo mas de dia y medio, en cuya virtu…</t>
  </si>
  <si>
    <t>Tavera, Antonio</t>
  </si>
  <si>
    <t>Antonio Tavera</t>
  </si>
  <si>
    <t>…Hernández ,soldado; Josef María Talavera, idern; Josef Rafael Huerta, alférez; Josef Ramón Bravo, administrador de alcabalas; Josef María Vídaña , alférez; D. Simón Orozco, ídem ; D. Antonio Tavera, ídem , y subdelegado del pueblo de Uruapan; Jo sef María Peñafíd, capitán ; Josef María Sabalza, sargento.</t>
  </si>
  <si>
    <t>Tawast</t>
  </si>
  <si>
    <t>…acer un vlage de descubrimientos náuticos y geo gráficos. En el mes de Julio se hizo á la vela de Petropauiovsk. SUECIA. Stockolmo 14 de Marzo. El ministro de Suecia en Copenhague general Tawast, que ha recibido Ultimamente de S. M. Luis xvm la gran cruz de la legión de Honor, fue enviado en 1804 en seguimiento del duque de Enghien, arrestado en el país de Badén, a fín de reclamar de Napoleón la libertad de aquel príncipe de del antiguo Rey de Suecia…</t>
  </si>
  <si>
    <t>Teba, Antonio Juan de</t>
  </si>
  <si>
    <t>Antonio Juan de Teba</t>
  </si>
  <si>
    <t>…ibrería de Castillo, frente á las gradas de S. Felipe el Real, y en la de Villareal, calle de las Carretas, á 20 rs. en rústica; en Cádiz en la de Pajares, y en Granada en casa de D. Antonio Juan de Teba, corredor del comercio, á 21 rs. Para formar algún con cepto de esta obra original y única en su clase baste saber que se la reputa entre Jos inteligentes como elemental é indispensable para dirigir con acierto el cultivo de las vinas y los aprovechamientos d…</t>
  </si>
  <si>
    <t>Tejada, Antonio</t>
  </si>
  <si>
    <t>Antonio Tejada</t>
  </si>
  <si>
    <t>…es con una elegante oración de apertura, cada uno en su clase.Por la tarde fueron examinados en todos los elementos de aritmética y álgebra los alumnos de esta escuela ai cargo de D. Antonio Tejada, habiéndose sorteado las cuestiones y problemas hasta los mas difíciles y complicados del primer grado, que es á cuanto puede esforzarse el ingenio y la aplicación en solos cuarro meses de enseñanza. Por la noche se presentaron á la censura los trabajos de lo…</t>
  </si>
  <si>
    <t>Tejada, Félix Ignacio de</t>
  </si>
  <si>
    <t>Félix Ignacio de Tejada</t>
  </si>
  <si>
    <t>…r esta via, con la advertencia de ser urgente la práctica de estas jus tificaciones. El dia 20 de Febrero del presenté año falleció en esta corte, á los 8o años de edad, el Excmo. Sr. D. Félix Ignacio de Tejada, Suarez de Lara; señor de las villas de Torralba , valles de la Pavona, Andino y Andinillo, Sta. María de Bellota, Casa y Torrefuerte de Sta. Cruz de Rodezno; caba llero gran cruz de la Real y distinguida orden de Carlos m y militar de S. Hermenegildo, gentil…</t>
  </si>
  <si>
    <t>Tejada, Josef</t>
  </si>
  <si>
    <t>Josef Tejada</t>
  </si>
  <si>
    <t>…resultando ser los mas aventajados y dignos del premio en la primera clase D. Juan Diez, D. JosefGonzález, seminaristas, y D. Remigio García, natural de este sitio : en la segunda D. Josef Tejada , natural de Madrid, D, Eladio Ra mos , seminarista , y D. Cárlos Larravide, de este sitio: en la tercera los se minaristas D. Juan Sánchez Rubio, D. Ramón Pintor y D. Policarpo Gon zález, á quienes distribuyó las medallas el Rmo. prior, tocando entre tanto u…</t>
  </si>
  <si>
    <t>Tejada, Josef García de</t>
  </si>
  <si>
    <t>Josef García de Tejada</t>
  </si>
  <si>
    <t>…. 2, tasada en 189333 rs&lt;; dan por ellas las dos terceras partes eft dinero metálico.—El mismo Señor se ha ser vido convocar á junta general á los acreedores á la testamentaría de D. Josef García de Tejada, y señalado para ella el viernes 13 de Junio próximo en su posada, calle de Fuencarral, pasada la casa de Astrearena, á las 8 de su mañana; con apercibi miento que á los que no concurran les parará el perjuicio que haya lugar. A instancia de la casa de comerc…</t>
  </si>
  <si>
    <t>Tejada.----, Santiago</t>
  </si>
  <si>
    <t>Santiago Tejada.----</t>
  </si>
  <si>
    <t>…sobre lo que disertó D. Faustino Español----- ,,E1 comercio interior que hacen las provin cias entre sí es mas ventajoso que el exterior de nación á Ración”: sobre lo que disertó D. Santiago Tejada.----,/Todo sistema gremial es nocivo á los progresos de la industria”: que fue el objeto de la disertación de D. Antonio LTgarcalde.__ „E1 libre comercio interior de granos proporciona una abun dancia tanto mas interesante , cuanto el artículo es de mayor consumo”…</t>
  </si>
  <si>
    <t>Teran, Fernando Fernandez de Mier y</t>
  </si>
  <si>
    <t>Fernando Fernandez de Mier y Teran</t>
  </si>
  <si>
    <t>972Se cita y emplaza al presbítero D. Fernando Fernandez de Mier y Teran, cape llán que fue del Real monasterio de la Purísima Concepción, vulgo las Calatravas de esta corte, para que en el término de un mes comparezca por sí ó por medio de procurador con poder bastante a! Real Consejo de las Ordenes, y escribanía de cá mara de Ca…</t>
  </si>
  <si>
    <t>Teran, Juan Elias de</t>
  </si>
  <si>
    <t>Juan Elias de Teran</t>
  </si>
  <si>
    <t>…tica. Infancia ilustrada y niñez instruida en todo género de virtudes cristianas, mora les y políticas, que conducen á la buena educación y crianza de los niños: su autor el limo. Sr. D. Juan Elias de Teran: un tomo en 8.° á 10 rs. en pasta.~Los nom bres de Cristo, por el Mtro. Fr. Luis de León: nueva edición enmendada por el cotejo de las cinco primeras, con una prefación sobre la necesidad de buenos libros para la instrucción del pueblo; por un doctor de Valen…</t>
  </si>
  <si>
    <t>Teresa, María</t>
  </si>
  <si>
    <t>María Teresa</t>
  </si>
  <si>
    <t>…el singular aprecio que hacia de esta em bajada. En seguida fue presentado el Embajador con el ceremonial de estilo á la Reina nuestra Señora que estaba acompañada de la Princesa Doña María Teresa y de las Sermas. Sras. Infantas. ESPAÑA. Pamplona 28 de Julio. El dia 8 de este mes celebró el nobilísimo reino de Navarra el solemne y magestuoso acto del Real juramento de fidelidad que prestó á S. M. y en su Real nombre al conde Ezpeleta de Veire, virey de…</t>
  </si>
  <si>
    <t>Terrero, Pedro</t>
  </si>
  <si>
    <t>Pedro Terrero</t>
  </si>
  <si>
    <t>…ños y 5 j á las niñas. A mas de una medalla de plata pendien te de un collar se distribuyeron 15 á los niños y ocho á las niñas. En la clase de dibujo fue premiado con 100 rs. vn. D. Pedro Terrero, discípulo de la Real academia de Nobles Artes de S. Carlos. En el mismo acto de la dis tribución cedieron la parte pecuniaria dd premio D. Jaime Manent y Don "Vicente Morera, y de las niñas Doñi María Vicenta Lorente y González, Doña Magdalena Beltran , Doña…</t>
  </si>
  <si>
    <t>Teruel, Pedro</t>
  </si>
  <si>
    <t>Pedro Teruel</t>
  </si>
  <si>
    <t>…ncha: la capitanía de llaves de la de Gerona al subteniente de egército D. Josef Castelló, sargento primero de Reales guardias de infantería Española; y la de la de Seu de Urgel á D. Pedro Teruel, sargento segundo del mismo Real cuerpo. En Aiv/erica. El Gobierno del castillo de Atores, dependiente de la pla za de la Havana, á D. Diego de Montalvo, teniente coronel retirado en la misma: la ayudantía del castillo del Morro en la propia isla á D. Vicente…</t>
  </si>
  <si>
    <t>Thorton</t>
  </si>
  <si>
    <t>…iendo que este principiaba á robar, pidieron auxilio á la tropa, la cual tuvo que hacer uso de las ar mas. Hasta ahora solo se sabe que hubo dos muertos. CAMARA DE LOS COMUNES. El general Thorton consiguió que sé leyese por segunda vez su proyecto de ley para suprimir la pena de azotes aplicada á las mugeres. Un individuo propuso que la Cámara se constituyese en comisión para discutir el proyecto de ley sobre la prolongación de la ley de insurrección…</t>
  </si>
  <si>
    <t>Tizón, Juan</t>
  </si>
  <si>
    <t>Juan Tizón</t>
  </si>
  <si>
    <t>…su derecho y justicia en la instancia de reclamación; apercibido de que no compare ciendo en dicho término se proveerá lo conveniente, y le parará el perjuicio que haraé lugar.U _ D. Juan Tizón , natural, vecino y regidor decano que fue de la ciudad de Murcia dejó por albacea y juez partida de sus bienes á D. Rafael de Arce, de la misma ve cindad, el cual deseando terminar esta partición, y teniendo presente que en varias, ocasiones han salido acree…</t>
  </si>
  <si>
    <t>TJlloa, Benito de Prado y</t>
  </si>
  <si>
    <t>Benito de Prado y TJlloa</t>
  </si>
  <si>
    <t>…anzas que nuestro amado Sobera no se ha dignado de fundar sobre ellos. Madrid 31 de Enero. El dia 9 del corriente tuvieron el honor de presentarse á SS. MM. el señor de Rubianes y D. Benito de Prado y TJlloa , gentilhombre de boca, como apoderados de la ciudad de Lugo , para felicitarles por su deseado y feliz enlace j con cuyo motivo el primero dijo: ,, Señor: La ciudad de Lugo tiene el honor de elevar á L. R. P. de V. M. por medio de esta diputación los sentimi…</t>
  </si>
  <si>
    <t>To</t>
  </si>
  <si>
    <t>…difinitivamente el almanak. Ante el limo. Sr. D. Gonzalo Josef de Vi'ches, decano de! Consejo y Cámara de S. M., juez protector y privativo. de los santos lugares de Je;usaíen, y D. To mas de Sandra y Prado, secretario del mismo, pende expediente a instancia del procurador general por S. M. del Real patronato sobre !a pertenencia de 37 vales Reales de óoo pesos, 54 de 30?) y 6/ de 150, de todas creaciones, que han sido</t>
  </si>
  <si>
    <t>To, Bonifacio</t>
  </si>
  <si>
    <t>Bonifacio To</t>
  </si>
  <si>
    <t>3002 mas pobres de ambas, que dieron pruebas de su aprovechamiento, se repar tieron io vestidos, que mando hacer á sus expensas el Sr. D. Bonifacio To samos, canónigo lectoral de esta santa iglesia. La asistencia de los padres é interesados de los niños que ocupaban las dos escuelas hizo la concurrencia mas numerosa, y la dulce satisfacción y gozo de estos al ver á sus hijos tan provechosamente adelantados,…</t>
  </si>
  <si>
    <t>To, Torcuato</t>
  </si>
  <si>
    <t>Torcuato To</t>
  </si>
  <si>
    <t>…una idea de la que tenían de los abecedarios mayúsculos y minúsculos , sus raíces, gruesos, perfiles, distancias &amp;c., se gún las reglas del maestro Anduaga, y doctrina y gusto de D. Torcuato To rio de la Riva. Ultimamente cada uno demostró en su decuria el conocimiento que tenia en las reglas de la ortografía castellana, y en las de las cuatro reglas de la aritmética. Pero como una de las bases en que ha de afianzarse la educación es la urbanidad y…</t>
  </si>
  <si>
    <t>Toledo, Antonio</t>
  </si>
  <si>
    <t>Antonio Toledo</t>
  </si>
  <si>
    <t>…uentan varias traducciones de él. Ea España,después de las que publicaron en 1587 Juan Sedeño, natural de J ¡draque, en 1649 el húrgales D. Antonio Sarmiento de Mendoza, y en 1722 D. Antonio Toledo, aparece esta nueva traducción, sobre cuyo mérito decidirán los inteligen tes en el dificilísimo egercicio de traducir poesías. Se hallará de venta en la. librería de la viuda de Barco López, calle de la Cruz; en Sevilla en la de Caro; en Cádiz en la de Horta…</t>
  </si>
  <si>
    <t>Toledo, Francisco</t>
  </si>
  <si>
    <t>Francisco Toledo</t>
  </si>
  <si>
    <t>…asación en moneda metálica, se ha señalado para su remate el viernes 24 del corriente á las 12 de su mañana en dicha escribanía de provincia. En los autos de dimisión de bienes de D. Francisco Toledo, ausente, vecino y corredor de número de esta corte, que penden en el juzgado del Sr. D. Joaquín Almazan, del Consejo de S. M., teniente corregidor de esta villa, y escribanía del número de D. Tomas de Sancha y Prado, á instaacia de los comisionados por los a…</t>
  </si>
  <si>
    <t>Toledo, Francisco de</t>
  </si>
  <si>
    <t>Francisco de Toledo</t>
  </si>
  <si>
    <t>…de D. Tomas de Sancha y Prado, á instaacia de los comisionados por los acreedores, se ha mandado por providencia de 8 del corriente citar y emplazar por edictos y pregones á dicho D. Francisco de Toledo, para que comparezca á usar del derecho que pueda asistirle, señalándole el término preciso y perentorio de 30 días; con apercibimiento que de no hacerlo, sin mas citarle ni emplazarle, se subs tanciarán los autos en los estrados de la audiencia, y le parará…</t>
  </si>
  <si>
    <t>Toledo, Lorenzo Cisneros y</t>
  </si>
  <si>
    <t>Lorenzo Cisneros y Toledo</t>
  </si>
  <si>
    <t>…ual quiera persona, bien de la Guaira, de sus inmediaciones, ó de la península, que su piese el paradero ó fallecimiento del referido Sola, tenga la bondad de avisarlo en Madrid á D. Lorenzo Cisneros y Toledo, agente de negocios, y procurador de los Reales Consejos, que vive calle de Toledo, esquina á la Imperial, casa del conde de Humanes, núm. 9, cuarto 2.0; y si fuese del fallecimiento de dicho Antonio Sola, agradecerá el expresado Cisneros que para poderlo acr…</t>
  </si>
  <si>
    <t>Toledo, Miguel Sain.z de</t>
  </si>
  <si>
    <t>Miguel Sain.z de Toledo</t>
  </si>
  <si>
    <t>…uar de á V. muchos años. Madrid 19 de Junio de 1817. Nota de los donativos hechos á favor de la Real hacienda, que S. M. se ha dignado admitir, y mandar se publiquen en la gaceta. D. Miguel Sain.z de Toledo ^ presbítero en la villa de Almodovar del Pi nar, provincia de Cuenca, en varios documentos de créditos contra la Real hacienda 28500 rs. y 5 mrs. vn. D. Francisco Mesia Chacón y Aranda, vecino de Ubeda, en varios recibos de dinero entregado para el ejército…</t>
  </si>
  <si>
    <t>Tolíy, Barclay de</t>
  </si>
  <si>
    <t>Barclay de Tolíy</t>
  </si>
  <si>
    <t>…ado. El Emperador Alejandro llegó á las orillas del Dwina. Después de haber recorrido las principales ciudades de aquel pais irá á Mohiiow , donde esrá el cuartel general del feld-mariscal Barclay de Tolíy. Stetlin 16 de Setiembre. En la Pomeranla que pertenecía anteriormente á la Suecia, y actualmen te está reunida á la monarquía prusiana , se han introducido sucesivamente los reglamentos de comercio prusianos, y esto ha proporcionado á aquel país muchas venta…</t>
  </si>
  <si>
    <t>Tolli, Barclay de</t>
  </si>
  <si>
    <t>Barclay de Tolli</t>
  </si>
  <si>
    <t>* ( m Núm. 40. [ cuartos. ] ± fi JIJsi GACETA DE MADRID DEL JUEVES 3 DE ABRIL DE 1817. RUSIA. Fetersburgo de Febrero. El feld* mariscal príncipe Barclay de Tolli, que ha llegado estos dias, re cibe aquí las mayores distinciones, y la corte le costea todos los gastos. El gran duque Miguel y todos los generales han ido á visitarle. El día 8 hubo en ob sequio suyo una gran parada de todas las tropas de la guarnición y de…</t>
  </si>
  <si>
    <t>Tolly, Barclay de</t>
  </si>
  <si>
    <t>Barclay de Tolly</t>
  </si>
  <si>
    <t>…está todavía cubierto de hielo. El general Jommi está escribiendo una historia de las dos ultimas cam pañas, para cuya obra le ha suministrado materiales muy importantes el feld- mariscal Barclay de Tolly. El mismo general saldrá pronto de Rusia, cuyo clima no le agrada, y pasará á Suiza con una licencia Qc nos anos que le ha concedido el Emperador. AUSTRIA. Viena 24 de Mayo. La archiduquesa Leopoldina saldrá para Liorna el 29 de este mes, y lle gará á Florenc…</t>
  </si>
  <si>
    <t>…erador debe salir de aquí el 1.° de Setiembre, y su ausencia du rará de 15 á 16 meses. Desde luego pasará á Witepsk á inspeccionar las tro pas que forman el cuerpo de egército del general Barclay de Tolly,y llega rá en Noviembre á Moscow, donde permanecerá hasta Junio. Después re correrá las provincias meridionales de su imperio, y concluido este viage irá á Alemania para asistir á la reunión decretada en 1815 por ios Soberanos aliados, que se verificará en Fr…</t>
  </si>
  <si>
    <t>Tomas</t>
  </si>
  <si>
    <t>…icho ramo lo que sigue : „ La pública voz y fama ha fijado la vista en los verdaderos piratas y asesinos de la inerme tripulación del bergantín goleta la Venus sacrificados con el capitán Tomas, su muger y un niño llamado Cristiani, de tres años, cuya cartilla ha parecido, igualmente que un zapato de la señora. En efecto, por la declaración jurada del patrón de la bombarda la Virgen del Carmen, Marcos García, que dio fondo antes de ayer procedente d…</t>
  </si>
  <si>
    <t>Tomas, Pedro</t>
  </si>
  <si>
    <t>Pedro Tomas</t>
  </si>
  <si>
    <t>…n el buque enemigo hubo uno de los pri meros y dos de los segundos.” Por el juzgado de Marina de primera instancia sigue autos D. Antonio Costilla alférez de fragata retirado, can D. Pedro Tomas, natural de la ciudad de Mallorl ca, que ha residido muchos años en esta corte, sobre la pertenencia de unas accio nes del Real empréstito de i60 millones, y otras de la compañía de libreros de ella* y habiendo resultado el fallecimiento del D. Pedro Tomas, y…</t>
  </si>
  <si>
    <t>Tomasini, Jacobo</t>
  </si>
  <si>
    <t>Jacobo Tomasini</t>
  </si>
  <si>
    <t>247</t>
  </si>
  <si>
    <t>…te de Rusia, tuvo el 12 del pasado una audiencia del Empera dor Alejandro, y en seguida fue presentado á S. M. la Emperatriz. ITALIA. Bolonia i.° de Febrero. Ha vuelto de Parma el profesor Jacobo Tomasini, conocido por sus doctas obras, y ha abierto su curso de filosofía en nuestra universidad. S. S., que desea se propague el buen gusto en nuestras escuelas, ha dirigido un bre ve á Mr. Tomasini, en el cual, haciendo justicia á su mérito, le confiere di versos…</t>
  </si>
  <si>
    <t>Tomassia</t>
  </si>
  <si>
    <t>…ede, para que le intro dujese furtivamente y por medio de llaves maestras en el gabinete de la Princesa. La maldad fue descubierta y despedido el criado, quien después escribió al caballero Tomassia confesando que habia sido ganado por el ba rón O.... La Princesa dió cuenta del caso al gobernador general conde Sau-</t>
  </si>
  <si>
    <t>Topete, Francisco</t>
  </si>
  <si>
    <t>Francisco Topete</t>
  </si>
  <si>
    <t>…rticularmente la ccnducta de los oficiales de la Real arma da, y con especialidad la del coir.ondante de la escuadra capitán de fragata D. Josef María Chacón, el de la misma clase D. Francisco Topete, y el te niente de navio D. Antonio Quintano. Por último hace una distinguida memoria de las recomendables prendas del joven D. Cosme Payés, teniente del regimiento de Navarra, que pereció gloriosamente, y cuya familia recomienda á la consideración del Sobera…</t>
  </si>
  <si>
    <t>Topete, Juan</t>
  </si>
  <si>
    <t>Juan Topete</t>
  </si>
  <si>
    <t>…pila, y á los que derrotaron al enemigo otro con la leyenda: vencedores en el campo de Juchipila. El 28 de Octubre se apoderó por asalto del fuerte de Ojitlan el teniente de navio D. Juan Topete, comandante de las fuerzas de Sotavento de Veracruz, tomando á los rebeldes 2 cañones, 78 fusiles y otros varios efectos. A este gefe y su tropa concedió el Excmo. Sr. virey un escudo con el lema: venció en Ojitlan. El dia 7 de Noviembre batió el coronel D. J…</t>
  </si>
  <si>
    <t>Topete, Juan Bautista</t>
  </si>
  <si>
    <t>Juan Bautista Topete</t>
  </si>
  <si>
    <t>…la junta de reemplazos establecida en Cádiz; D. Josef Miguel Formento, coronel de milicias de Fondo; D. Agustín Rodríguez y Fernandez, vecino de Montevideo; al capitán de fragata D. Juan Bautista Topete; D. Antonio Estevez, arcipreste de la colegiata de Medinaceli; Don Vicente Romero, oficial primero de la secretaría del despacho de Hacienda de Indias; D. Josef Villar y Frontín, oficial de la secretaría del despacho de Hacienda de España. Honores del tribuna…</t>
  </si>
  <si>
    <t>Tor, Juan Esteban Lozano de</t>
  </si>
  <si>
    <t>Juan Esteban Lozano de Tor</t>
  </si>
  <si>
    <t>…1 f del corriente tuvieron la honra de felicitar á S. M. por la ciudad de Santander, con motivo del augusto nacimiento de la Serma. Sra. Infanta Doña María Isabel Luisa, el'Excmo. Sr. D. Juan Esteban Lozano de Tor res, regidor perpetuo de dicha ciudad; el marques de Valbuena, regidor bie nal, y D. Francisco de Durango y Orruzar, diputado extraordinario de la misma en esta corte; y el primero dijo: ,,Señor: La siempre noble y muy leal ciudad de Santander, capital de la…</t>
  </si>
  <si>
    <t>TorcuatoTorio</t>
  </si>
  <si>
    <t>…de imitar su zelo y aplicación, se dedicó al estudio de los mejores autores de educación , tomando por mo delo en el arte de escribir, conforme á las órdenes de S. M., el arte de Don TorcuatoTorio, cuya letra imitó con tal perfección, que sus copias se equi vocan con los originales, como se comprueba con las que remitió á Jos Rea les pies de S. M., siguiendo los principios del mismo autor en la aritmética, ortografía y gramática castellana; se dedicó á…</t>
  </si>
  <si>
    <t>Torio, Torcuato</t>
  </si>
  <si>
    <t>Torcuato Torio</t>
  </si>
  <si>
    <t>…Doña Ana Soto Sánchez, á las cuales se les asignó en premio una dote para si tomasen el estado matrimonial, una medalla de plata de cerca de una onza, un cuaderno de muestras por D. Torcuato Torio , un alfiletero de plata y unas tijeras. Los nombres y premios de las demas alumnas de esta escuela se especificarán también en el cuaderno de actas que se imprima. Otras 14 alumnas se presentaron de la escuela gratuita de S. Isidoro , es tablecida en el barr…</t>
  </si>
  <si>
    <t>…empleo ha nombrado S. M. á D. Igna cio Sancho, secretario que es de la academia de la primera educación; de un religioso de las Escuelas pías á nombramiento de sus prelados, y de D. Torcuato Torio de la Ríva; relevando á los dos individuos del colegio, que has ta ahora han sido vocales de ella, para que puedan mas libremente dedicarse al cuidado de sus respectivas escuelas y á ios egercicios útiles del colegio aca démico, sin que la asistencia á la jun…</t>
  </si>
  <si>
    <t>Torneé</t>
  </si>
  <si>
    <t>…egio de medicina de esta corte se vende en la librería de Villareal, calle de las Carretas: su precio 2 rs. Sermones predicados al Rey de Francia en la cuaresma de 1764 por Mr. el abad Torneé, canónigo de la iglesia de Orleans, é individuo de varias academias, tradu cidos en castellano: dos tomos en 4.0 Se hallarán en la librería de Tieso, calle de las Carretas. Las obras de D. Fernando Selma, grabador de cámara de S. M., se hallarán de venta en e…</t>
  </si>
  <si>
    <t>Toro, Josef María del</t>
  </si>
  <si>
    <t>Josef María del Toro</t>
  </si>
  <si>
    <t>…de 1816. = Josef Rincón. DIVISION EXPEDICIONARIA DE VERACRUZ. List A de los oficiales y cadetes que son acreedores jpor haberse distinguido á la superior recomendación de S. E. El teniente D. Josef María del Toro, el subteniente D. Ignacio Bobadi lla, idem D. Joaquin Arzamendi, Ídem D. Josef María Carmona, el ciru jano D. Miguel Añon, el cadete D. Francisco Rodríguez, idem D. Juan La gos, idem D. Lope Urriza, del regimiento fijo. El subteniente D. Juan Mo rilla, de la…</t>
  </si>
  <si>
    <t>Toro, Julián de</t>
  </si>
  <si>
    <t>Julián de Toro</t>
  </si>
  <si>
    <t>…s adelante en el propio pago, linde entre otros, rotura que hizo Felipe Baquemo, de caber 4 fanegas y cuartilla, en 1275; y otra en Valdelacasa, que fue viña, lin de con tierra de D. Julián de Toro, en 812 rs. 17 mrs. Quien quisiere hacer pos tura acuda ante el Sr. D. Joaquín Altnazan, del Consejo de S. M., y teniente pri mero de corregidor de esta villa, por la escribanía del numero que egerce Don Juan Raya. Instituí iones medicae, seu physiologia ef p…</t>
  </si>
  <si>
    <t>…s poco menos, en 900 rs.: otra donde dicen la Concepción, linde con tierra de las monjas, de caber fanega, en 875 rs.: otra al pozo de la nieve, que fue viña, linde con tierras de D. Julián de Toro, de caber fanega y media, en 1350 rs.: otra á Calzas de hierro, que fue viña, y aun tiene al gunas cepas, linde con otra de Tadeo León y la vereda, de caber 3 fanegas, en 1750: otra mas adelante en el propio pago, linde entre otros, rotura que hizo Fe lipe Ba…</t>
  </si>
  <si>
    <t>Torras, Pedro Ruiz de</t>
  </si>
  <si>
    <t>Pedro Ruiz de Torras</t>
  </si>
  <si>
    <t>…la Real y militar orden de S. Hermenegildo á los tenientes generales D. Juan Carra fa , D. Juan Carlos de Areizaga, y conde de S. Agustín de Torohermoso; á los mariscales de campo D. Pedro Ruiz de Torras, D. Tomas O-Donojú, D. Alvaro Chacón y D. Manuel Ladrón de Guevara, y al gefe de escuadra de la Real armada D. JoaquiiLde Molina, en atención á sus constantes ser vicios y mérito. El R ey nuestro Señor, á consulta del supremo Consejo de Hacienda y Junta gener…</t>
  </si>
  <si>
    <t>Torrecilla, Adriano</t>
  </si>
  <si>
    <t>Adriano Torrecilla</t>
  </si>
  <si>
    <t>…Abello, D. Antonio Jácome y Villena, D. Antonio Fernandez Pinzón, Don Antonio de los Reyes y Céspedes, D. Josef García Merlo, y á los artilleros disti nguidos D. Josef Torrecilla, D. Adriano Torrecilla y D. Josef de Puente. Se vende una casa sita en la calle de Santiago el Verde de esta población, seña lada con el núm. 13 de la ímnz. 76, comprensiva de 3275 pies y ^ de otro cua drados superficiales, tasada en la cantidad de 106248 rs. sin otra carga que la del alumbrado. Quien…</t>
  </si>
  <si>
    <t>Torrecilla, Antonio Dámaso</t>
  </si>
  <si>
    <t>Antonio Dámaso Torrecilla</t>
  </si>
  <si>
    <t>…las oposiciones del presente año anatómico sobre la angiologia ó tratado de vasos sanguíneos, y sobre la neurología ó tratado de nervios, y el juicio presentado por los profesores D. Antonio Dámaso Torrecilla, catedrático de anatomía, y D. Juan de Azaola, maestro de los alumnos practicantes en la clase de anatomía y enfermedades de huesos, jueces censores de este acto, con el objeto de que se distribuyan justamente los premios de emulación. Por resultado de estos…</t>
  </si>
  <si>
    <t>Torrecilla, Josef</t>
  </si>
  <si>
    <t>Josef Torrecilla</t>
  </si>
  <si>
    <t>…D. Dionisio Sierra y Abello, D. Antonio Jácome y Villena, D. Antonio Fernandez Pinzón, Don Antonio de los Reyes y Céspedes, D. Josef García Merlo, y á los artilleros disti nguidos D. Josef Torrecilla, D. Adriano Torrecilla y D. Josef de Puente. Se vende una casa sita en la calle de Santiago el Verde de esta población, seña lada con el núm. 13 de la ímnz. 76, comprensiva de 3275 pies y ^ de otro cua drados superficiales, tasada en la cantidad de 106248 rs.…</t>
  </si>
  <si>
    <t>Torres, Bartolomé Muñoz de</t>
  </si>
  <si>
    <t>Bartolomé Muñoz de Torres</t>
  </si>
  <si>
    <t>…lla se contiene,sin con travenirla , permi; ir ni dar lugar á que'se contravenga en manera alguna: que asi es mi voluntad ; y que al traslado impreso de esta mi cédula, firmado de D. Bartolomé Muñoz de Torres, mi secretario, escribano de cámara mas an tiguo y de gobierno del mi Consejo, se le dé la misma fe y crédito que á su original. Dada en palacio á 10 de Marzo de íSiy.rrYO EL REY.=YoDon Juan Ignacio de Ayesrarán, secretario del Rey nuestro Señor, la hice escr…</t>
  </si>
  <si>
    <t>Torres, Francisco</t>
  </si>
  <si>
    <t>Francisco Torres</t>
  </si>
  <si>
    <t>…n la madrugada de hoy con 20 infantes de Fernando vil, provincial, if realistas de la ciudad de Cholula, y 25 caballos del cuerpo de realis tas fieles guarda-campos al mando de su teniente D. Francisco Torres. Me dirigí á Natívitas con objeto de sorprender la gavilla del infame Corona; mas no encontrándola allí determiné buscarla en ia hacienda de Sta. Ana , en donde tampoco estaba; pero no perdonando recurso me propuse no dejar campo ni camino que no reconociese…</t>
  </si>
  <si>
    <t>Torres, Hilario</t>
  </si>
  <si>
    <t>Hilario Torres</t>
  </si>
  <si>
    <t>…les D. Josef Blazquez, cooperando en lo posible á las grandes miras del Soberano , propuestas por el infatigable zelo de su digno director Don Ignacio Jáuregui, y los catedráticos D. Hilario Torres y D. Antonio Her nández , en educar á los alumnos de dicho Real establecimiento en la anato mía histórica y patológica, para lo cual tenia disecado en un cadáver el sis tema nervioso de ambas vidas animal y orgánica, é inyectado y disecado el vascular de sangre roja; y querie…</t>
  </si>
  <si>
    <t>9*3 enseñadas por su compañero en todo el catedrático D. Hilario Torres,—. Con arreglo á lo nuevamente mandado por S. M. en 31 de Agosto y 4 de Diciembre de i8tó, y á lo decretado por Reales disposiciones desde la fun dación de la escuela ae Clínica en esta corte, no será admitido á la matrícu la del estudio el que no acredite ha…</t>
  </si>
  <si>
    <t>Torres, Josef de</t>
  </si>
  <si>
    <t>Josef de Torres</t>
  </si>
  <si>
    <t>…derable de muertos y heridos; pero la mala suerte quiso que en una de Jas cargas que les dio el escuadrón de mi guardia, con el cual iba uno de mis ayudantes de campo, el teniente coronel D. Josef de Torres, fuese este muerto de bala de fusil y un soldado del mismo, habiendo sido herido otro. La pérdida de dicho mi ayudante me ha sido sumamente sensible, pues era muy buen oficial en to dos sentidos, y digno de todo aprecio. El 15 por la mañana volvieron los enem…</t>
  </si>
  <si>
    <t>Torres, Josefa Guerrero de</t>
  </si>
  <si>
    <t>Josefa Guerrero de Torres</t>
  </si>
  <si>
    <t>…antes media legua de dicho pueblo, entre el camino de Mejorada y el del Char co alto, conocidas con el nombre de tierras de los Caballeros de Granada, propias de la vinculación de Doña Josefa Guerrero de Torres, vecina de la ciudad de Gra nada, tasadas en el año de 1795 en la cantidad de 93920 rs. La persona que quie ra informarse podrá hacerlo en la escribanía de D. Juan Raya, donde existen los antecedentes y la Real facultad para dicha enagenacion; y de la persona…</t>
  </si>
  <si>
    <t>Torres, Juan Estéban Lozano de</t>
  </si>
  <si>
    <t>Juan Estéban Lozano de Torres</t>
  </si>
  <si>
    <t>…parse exclusivamente en su despacho; bien convencido de la importancia de determinarlo asi, he venido en nombrar para que la sirva en propiedad á mi consejero de Estado hono rario D. Juan Estéban Lozano de Torres, declarándole al mismo tiempo pla za efectiva en el consejo de Estado. Tendreislo entendido, y dispondréis lo necesario á su cumplimiento. = Rubricado de la Real mano. =Palacio 29 de Enero de 1817.= A D. Josef Pizarro.” Circulares del Ministerio de Guerra. i.…</t>
  </si>
  <si>
    <t>Torres, Juan Esteban Lozano de</t>
  </si>
  <si>
    <t>Juan Esteban Lozano de Torres</t>
  </si>
  <si>
    <t>…nsejo de Hacien da. Tendreislo entendido, y lo comunicareis á quienes corresponda para su cumplimiento.—Señalado de la Real mano de S. M.=rEn Palacio á 24 de Febrero de. 1817. = A D. Juan Esteban Lozano de Torres.” Circular del Ministerio de. Guerra.. Al Sr. Secretario de Estado y del Despacho de Marina digo con esta feú cha, lo siguiente: „ He dado cuenta al Rey nuestro Señor de cuanto V. E. me manifiesta en su papel de 23.de Junio último, relativo á la calificación…</t>
  </si>
  <si>
    <t>…yuntamiento de la villa del Infesto y concejo de Pilona, en el principado de Asturias, en favor de mi consejero de Estado y secretario del despacho universal de Gra cia y Justicia D. Juan Esteban Lozano de Torres; en consideración á ser oriundo de una de las familias de mas distinguida nobleza del lugar de Loza na, de aquel concejo , y á sus méritos y servicios, he venido en concederle título de regidor perpetuo hereditario del expresado concejo. Tendráse enten dido e…</t>
  </si>
  <si>
    <t>Torres, Juan Josef de</t>
  </si>
  <si>
    <t>Juan Josef de Torres</t>
  </si>
  <si>
    <t>…eñor coronel Armiñan; y mediante á que para acabar con el perverso necesita , según expresa, 200 caballos, se los voy á facilitar al momento, y saldrán á la madrugada al mando del teniente Don Juan Josef de Torres, oficial valiente y acreditado. ,, El cobarde que nos ha puesto en movimiento y ocasionado pésimos ra tos queda arrestado hasta la superior determinación de V. E. „El oficial que ha traido el adjunto parte informa qtle el rebelde ha te nido muchos muertos, y…</t>
  </si>
  <si>
    <t>Torres, Juan Lozano de</t>
  </si>
  <si>
    <t>Juan Lozano de Torres</t>
  </si>
  <si>
    <t>…re la vuestra entera.Tendreislo entendido, y lo comunicareis á quienes corresponda para su cumplimiento. Señalado de la Real mano deS. M. = En Palacio á 12 de Febrero de 1817. = A D. Juan Lozano de Torres.” Por el Ministerio de Gracia y Justicia se ha dirigido al Consejo la Real orden siguiente: „E1 Rey nuestro Señor ha sabido por los partes de las autoridades en cargadas de la egecucion del Real decreto de 30 de Mayo de 1814 , que muchas personas de las compr…</t>
  </si>
  <si>
    <t>234 . . heroísmo, sirviendo de modelo digno de imitación á las generaciones futuras. En consideración al desempeño de la comisión que la ciudad de Guadix confió al Excmo. Sr. D. Juan Lozano de Torres, Secretario de Estado y del Despacho de Gracia y Justicia de España é Indias, para felicitar á su nom bre á SS. MM. y AA. por sus felices respectivos enlaces, y otros diversos y plausibles motivos, le ha nombrado aquel ayuntamiento su regidor perpetuo, remiti…</t>
  </si>
  <si>
    <t>…sidente del Consejo el Real decreto siguiente: ,jEn consideración á la solicitud que me ha hecho el ayuntamiento de la muy noble, muy leal y muy heroica ciudad de Cádiz á favor de D. Juan Lozano de Torres , mi Consejero de Estado, y Secretario del Despacho de Gracia y Justicia de España é Indias, y atendiendo á sus distinguidos méri tos y servicios; he venido en concederle los honores de regidor de la misma ciudad. Tendráse entendido en la Cámara , y se dispon…</t>
  </si>
  <si>
    <t>…s rendidas expresiones de júbilo por el deseado fruto de su augusto enlace que promete la actual situación de la Reina nuestra Señora, acordaron comisionar á este efecto al Excmo. Sr. D. Juan Lozano de Torres, secretario del despacho de Gracia y Justicia, quien en nombre de dichos cuerpos y su diputación permanente én la corte lo verifi có el viernes 14 de Marzo en los términos siguientes: „ Señor:- El ayuntamiento y Real consulado de la siempre noble y leal ciuda…</t>
  </si>
  <si>
    <t>348</t>
  </si>
  <si>
    <t>…ecio y co nocimiento á las relevantes cualidades, méritos y extraordinarios servicios de mi consejero de E&gt;tado, y secretario del despacho de Gracia y Justicia de Es paña é Indias D. Juan Lozano de Torres; he venido en aprobar el nombra-</t>
  </si>
  <si>
    <t>…bre 21 dei8i6.= Juan Josef Capistrano de Avila.r=Sr. sargento mayor y comandante interi no de las armas D. Josef Castro.’' ARTICULO DE OFICIO. Circular del Consejo Real. El Excmo. Sr. D. Juan Lozano de Torres, secretario de Estado y del Despacho de Gracia y Justicia , ha comunicado al Consejo, con fecha 15 de este mes, por medio del limo. Sr. decano la Real orden que dice asi: „Iimo. Sr.: El Sr. secretario del Despacho de Marina me dice en 8 de este mes lo siguien…</t>
  </si>
  <si>
    <t>647</t>
  </si>
  <si>
    <t>…LO DE' O FI C lOk El Rey nuestro Señor se ha servido expedir el Real decreto siguiente : ,,En atención á los méritos de mi secretario de Estado y del despacha de Gracia y Justicia D. Juan Lozano de Torres, yen premio de haber publi cado el embarazo de la Ruina mi augusta Esposa,, he venido en concederle la gran cruz de la Real y distinguida orden española de Carlos 11*1, contán dole la. antigüedad desde el dia de la publicación de dicho fausto suceso. Tendreis…</t>
  </si>
  <si>
    <t>746</t>
  </si>
  <si>
    <t>…eneméritas tropas. Dios guarde á V. S. muchos años. Piastla 2 de Febrero de i8i7.=:Saturnino Samaniego. = Félix de la Madrid. Madrid 14 de Julio. ARTICULO DE OFICIO. Por el Excmo. Sr. D. Juan Lozano de Torres, secretario de Estado y del Despacho de Gracia y Justicia, se ha comunicado al Excmo. ayunta miento de esta muy heroica villa, por medio del señor corregidor interino, con fecha 10 de Junio próximo pasado, la Real orden que dice así: ,,He dado cuenta a! Rey n…</t>
  </si>
  <si>
    <t>…su Real decreto. ,,Nuestro Señor guarde la importante vida de V. M. los muchos y dila tados años que necesita la monarquía para su felicidad.” Circular del Consejo Real. El Excmo. Sr. D. Juan Lozano de Torres, secretario de Estado y del Despacho de Gracia y Justicia, con fecha 17 del corriente mes, ha comuni cado al Consejo por medio del Excmo. Sr. duque del Infantado, su presi dente , la Real orden que dice asi: Excmo. Sr.: El Sr. Secretario del Despacho de la Gu…</t>
  </si>
  <si>
    <t>1374</t>
  </si>
  <si>
    <t>…utamente pasaportes sino á personas reconocidas, legales y aptas á reci birlos en la forma prevenida por las leyes y disposiciones publicadas. Circular del Consejo Real. El Excmo. Sr. D. Juan Lozano de Torres, Secretario de Estado y del I^espacho de Gracia y Justicia ,comunicó al Consejo con fecha 19 de Setiem bre de este año por medio del Excmo. Sr. duque del Infantado, su presiden te, la Real orden que dice asi: „ Excmo. Sr.: Con fecha de 6 de este mes me dice e…</t>
  </si>
  <si>
    <t>Torres, Manuel</t>
  </si>
  <si>
    <t>Manuel Torres</t>
  </si>
  <si>
    <t>…as penosas faligas seguirá hasta lograr la total destrucción de los perversos. ,,,Dics guarde á V. E. muchos años. Campamento de S. Josef Junio 16 de 1817. = Benito Armiñan. = Sr. brigadier D. Manuel Torres.” El Excmo. Sr. virey espera con impaciencia los pormenores de esta ac ción para premiar á los que se hayan distinguido en ella, y castigar con ar reglo á ordenanza á. los que hayan faltado ai cumplimiento de sus deberes, y ha reproducido cuantas prevenciones…</t>
  </si>
  <si>
    <t>Torres, Manuel de</t>
  </si>
  <si>
    <t>Manuel de Torres</t>
  </si>
  <si>
    <t>…leno, con arreglo á la censura de los examinadores, á los discípulos siguientes: Primera clase: D. Eusebio Tarancon y Alique, D. Leornardo More no.__Segunda clase: D. Víctor Moya, D. Manuel de Torres___ Tercera clase'. D. Josef Vicente Fernandez y Collada, D. Miguel González___ Los examinadores, admirados de los adelantamientos que en el corto tiempo que llevan de enseñanza manifestaron D. Eusebio Tarancon y Alique, D. Leo nardo Moreno, D. Josef Benito Pr…</t>
  </si>
  <si>
    <t>…e íSiy.rrYO EL REY.=YoDon Juan Ignacio de Ayesrarán, secretario del Rey nuestro Señor, la hice escribir por su mandado. = D. Gonzalo Josef de Vilches.rrD. Juan Benito Hermosilla. =Don Manuel de Torres.=D. Tadeo Gómez.= D. Benito Arias.^Registrada, Aquilino Escudero. =Teniente de canciller mayor, Aquilino Escudero. Por el ministerio de Marina se ha expedido la Real orden siguiente: Con motivo de haber dado parte el comandante de la fragata de guerra Sabina…</t>
  </si>
  <si>
    <t>…nacio de Ayestarán , secretario del Rey nues tro Señor, la hice escribir por su mandado.rrEl duque del Infantado. = Don Josef Antonio de Larrumbide. = D. Juan Benito Hermosi!la. = D. Manuel de Torres. = D. Felipe de Sobrado. = Registrada Aquilino Escudero.^Tenien te de canciller mayor , Aquilino Escudero.. En oficio de 12 de Setiembre último participa al Excnlo. Sr. Secretarlo del despacho de Marina desde la Guaira el comandante de Marina del apos tadero…</t>
  </si>
  <si>
    <t>Torres, Manuel María de</t>
  </si>
  <si>
    <t>Manuel María de Torres</t>
  </si>
  <si>
    <t>…,, Los dos primeros están disponiéndose para fusilarlos por la mañana. ,,Dios guarde á V. S. muchos años. Oj uelos Diciembre ir de 1816 á las 4 de la tarde. = Josef Marques. = Sr. brigadier D. Manuel María de Torres.” Asimismo ha dispuesto S. E. se den las gracias al Sr. Torres Valdivia y al capitán D. Josef Marques. Sevilla gi de Mayo. La Real compañía de navegación del Guadalquivir celebró ayer útil mente los dias de nuestro augusto Soberano, botando al agua el primer…</t>
  </si>
  <si>
    <t>Torres, Manuel Vicente de</t>
  </si>
  <si>
    <t>Manuel Vicente de Torres</t>
  </si>
  <si>
    <t>…iencia del Sr. D. Joaquín Almazan, del Con sejo de M., teniente corregidor de esta muy heroica villa, por ante el escribano de número D. Ctaudio Sinz. En virtud de providencia del Sr. D. Manuel Vicente de Torres, ministro del Consejo en el supremo de Castilla, y juez interventor de la casa y estado&gt; del ex celentísimo Sr. duque de Tatnames, dada en 9 del corriente, y refrendada por el es cribano de provincia y comisiones D. Luis López de Castro , se manda citar y em…</t>
  </si>
  <si>
    <t>Torres, Tiburcio</t>
  </si>
  <si>
    <t>Tiburcio Torres</t>
  </si>
  <si>
    <t>…s tian, en Guipúzcoa, al teniente coronel D. Francisco Pavía , capitán agrega do al regimiento de infantería de Valenqey: el del castillo de Sanlúcar de Guadiana, en Andalucía, al teniente D. Tiburcio Torres r subteniente del re gimiento de infantería de Lorena: la sargentía mayor de la plaza de Hostalrich al capitán D. Josef Prats, teniente del regimiento de infantería de Vito ria: la de Alcántara á D. Ramón Sopeña, comandante del tercer batallón del regimiento…</t>
  </si>
  <si>
    <t>Toscano, Manuel Sánchez</t>
  </si>
  <si>
    <t>Manuel Sánchez Toscano</t>
  </si>
  <si>
    <t>…Sanz á deducir y exponer el que les asista; con apercibi miento que de no hacerlo, sin mas citarles ni emplazarles, se accederá á la entrega que de ellos se solicita por parte de D. Manuel Sánchez Toscano, y á lo demas que corresponda , y les parará entero perjuicio. En virtud de providencia del Sr. D. Joaquin de Almazan, del Consejo de S. M. , teniente de corregidor de esta heroica villa , se ha mandado sacar á pública subasta por término de 30 dias una huert…</t>
  </si>
  <si>
    <t>Tosta, Andrés</t>
  </si>
  <si>
    <t>Andrés Tosta</t>
  </si>
  <si>
    <t>…imiento de Barbastro D. Justo Lujan,tres españoles eu ropeos y dos americanos que tenían prisioneros. Concluye el general en gefe recomendando particularmente al teniente de navio D. Andrés Tosta, al de fragata D. Francisco Bosico, á los alfére ces de navio D, Juan Sollozo, D. Antonio Villalba y D. Rafael Díaz, y á los de fragata D. Juan Calvete y D. Félix Angosto, los cuales han manifes tado conocimientos, valor y atrevimiento en la toma de los fuert…</t>
  </si>
  <si>
    <t>Tosta, Andrés de</t>
  </si>
  <si>
    <t>Andrés de Tosta</t>
  </si>
  <si>
    <t>…endo comisionado al brigadier Canteras para que practicase un reconocimiento con las compañías de cazadores, mientras las flecheras y obuseras, mandadas por el teniente de fragata D. Andrés de Tosta, hacían un fuego vivísimo sobre todas las defensas de los rebeldes, los cuales contestaron arbolando su pabellón tricolor, y haciendo fuego de to das sus baterías. La columna del coronel Aldama impuso sobremanera á los enemigos, los cuales estrechados por el…</t>
  </si>
  <si>
    <t>Tostado, Alonso</t>
  </si>
  <si>
    <t>Alonso Tostado</t>
  </si>
  <si>
    <t>…á i\ rs.—Lección poética, sátira sobre el mismo asunto, por Don Meliton Fernandez, á 2§ rs. —Elogio del Rey D. Alonso el Sabio, por D. Josef de Vargas y Ponce, á 2§ rs. —Elogio de D. Alonso Tostado, obispo de Avila, por D. Josef de Viera y Clavijo, á 2§ rs.__Elogio del Excmo. Sr. marques de San ta Cruz, escrito por D. Nicasio Alvarez de Cienfuegos, á real y medio en papel._: Elogio histórico del Excino. Sr. D. Juan López Pacheco, marques de Villena, di…</t>
  </si>
  <si>
    <t>Toussaint-Louverture</t>
  </si>
  <si>
    <t>…iene 28 ó 30, siempre estuvo al lado de su madre. Este, después de haber hecho sus estudios en Paris en el colegio de las Colonias, obtuvo el grado de coman dante de escuadrón. El general Toussaint-Louverture tuvo ademas otro hijo llamado Isaac-Louverture, que fue el primogénito, y murió de 12 años en Belle-Yle-de-Mar, donde estaba desterrado, y fue capitán al servicio de Francia. ESPAÑA. S. Roque 18 de Agosto. El 16 del presente mes llegó á la bahía de Gibraltar,…</t>
  </si>
  <si>
    <t>Tovar, Agustín Blake y</t>
  </si>
  <si>
    <t>Agustín Blake y Tovar</t>
  </si>
  <si>
    <t>…Zizur y Azanza, D. Tomas Mones y Puertas, D. Miguel Zizur y Azanza, D. Joaquín Basols y Marañosa, D. Josef Amat y Desvaíls, D. Pablo Navas y Loigorri, D. Josef Navarro y Alarcon , D. Agustín Blake y Tovar, D. Josef Romero Dorado, D. Manuel Vega y Romero, D. Al varo de Navia y Osorio, D. Juan de ia Lastra y Mata, D. Dionisio Sierra y Abello, D. Antonio Jácome y Villena, D. Antonio Fernandez Pinzón, Don Antonio de los Reyes y Céspedes, D. Josef García Merlo, y á…</t>
  </si>
  <si>
    <t>Trani, Josef de</t>
  </si>
  <si>
    <t>Josef de Trani</t>
  </si>
  <si>
    <t>…que dio para la defensa de aquella plaza 9260 rs. D. Juan Nepomuceno Fuero, canónigo de Cuenca , y sus hermanos D. Manuel y D. Jacinto 30 acciones del banco nacional de S. Carlos. Don Josef de Trani, cura párroco de Uadros., en el obispado de Urgel, 4173 rs. en créditos contra la Real hacienda. El ayuntamiento de Arcos de la Fron tera por medio de su comisionado D. Antonio García de Veas 52382 rs. en</t>
  </si>
  <si>
    <t>Trapero, Clemente</t>
  </si>
  <si>
    <t>Clemente Trapero</t>
  </si>
  <si>
    <t>…de propios: su vecindario es de 240 vecinos, y su situación hermosa y con buenas aguas, Si alguno quisiese pretender dicha plaza dirigirá su memorial al escribano de ayuntamiento D. Clemente Trapero hasta el 29 de Setiembre del presente año. EN LA IMPRENTA REAL.</t>
  </si>
  <si>
    <t>Trapiella, Francisco Xavier Fernandez</t>
  </si>
  <si>
    <t>Francisco Xavier Fernandez Trapiella</t>
  </si>
  <si>
    <t>…undo de la ciudad de Zaragoza á D. Juan María de la Torre: para la de Tarragona á D. Manuel de Rada: para la de la villa de Enguera á D. Juan Antonio Bolaño; y para la de Cheite á D. Francisco Xavier Fernandez Trapiella. Por Real resolución, á consulta de la Cámara, se ha servido S. M. con ceder á D. Alonso Comieras Torres de Portugal y Espejo la gracia de títu lo de Castilla con la denominación de vizconde de Bexijar, en consideración á sus particulares servicios, para sí,…</t>
  </si>
  <si>
    <t>Traxler, Josef Remigio</t>
  </si>
  <si>
    <t>Josef Remigio Traxler</t>
  </si>
  <si>
    <t>…e Marzo de 1817. A instancia del Gobierno del cantón suizo de Unterwalden el inferior se hace saber á los acreedores del primer teniente del regimiento de Traxler., 5.° de suizos, D. Josef Remigio Traxler, que murió en Barcelona á 12 de Agosto de 1816 sirviendo en el regimiento de Guadalajara , que en el térmi no de seis meses acudan á justificar sm créditos en debida forma , y no ha-déndolo les parará el perjuicio que haya lugar».</t>
  </si>
  <si>
    <t>Trellas, Pedro Salsas y</t>
  </si>
  <si>
    <t>Pedro Salsas y Trellas</t>
  </si>
  <si>
    <t>…pastoral y prontuario moral sagrado de pláticas doctrinales sobre to dos los puntos de la doctrina cristiana, apoyado en la sagrada escritura y Santos Pa dres, escrito por el Dr. D. Pedro Salsas y Trellas: obra útilísima no solo á los pár rocos y oradores evangélicos para predicar con acierto y fruto de las almas, sino á los padres de familia para la instrucción de las suyas; cinco tomos en 4.0 á 130 rs. en pasta. Se vende en la librería de Castillo, frente á…</t>
  </si>
  <si>
    <t>Trelles, Lanza</t>
  </si>
  <si>
    <t>Lanza Trelles</t>
  </si>
  <si>
    <t>…dice con fecha de 26 de Julio: „Declarando que la peste continúa en esta ciudad y su territorio , y que dentro de la ciudad mueren diariamente de 3© á 35 personas.” 4. a En ia del capitán Lanza Trelles, núm. 11, fecha 29 de Junio se dice: ,, La peste sigue en esta capital, donde mueren hasta 60 en estos últi mos dias.”__ Pasageros 13, todos españoles. Gandía ifr de Agosto. En la tarde del 17 del mes próximo pasado el Real colegio de escuelas Pías de la ciud…</t>
  </si>
  <si>
    <t>Trelles, Sebastian Lanza</t>
  </si>
  <si>
    <t>Sebastian Lanza Trelles</t>
  </si>
  <si>
    <t>…ejandría, con arroz, habas y cueros salados, idem. 10. Bergantín Diligencia, patrón Juan Sintes, procedente de Bona, es pañol , en lastre, idem. 11. Quechemarin Virgen del Carmen, capitán Sebastian Lanza Trelles, español, procedente de Argel, con sal, vino y aguardiente, ídem. 12. Polacra los Amigos, patrón Carlos Facco, ingles, procedente de Canea, Malta y Gibraltar, con aceite y jabón, idem. 13. Bergantín Betzy, patrón Pedro Mir, ingles, procedente de Odesa y Const…</t>
  </si>
  <si>
    <t>Trento, Gerónimo</t>
  </si>
  <si>
    <t>Gerónimo Trento</t>
  </si>
  <si>
    <t>…y para comprobar su legitimidad llevarán la firma de Crespo. En las mismas librerías se hallarán las demas obras del autor. Cuaresma, pláticas morales y panegíricos del ex-jesuita D. Gerónimo Trento, traducidos del toscano al español por D. Josef Marcos Gutiérrez: cuatro tomes en 4.0 Se hallarán en ia librería de Castillo, á 64 rs. en pasta y 48 en pergamino. El duelo juzgado en el tribunal de la razón y del honor: escrito en francés por J. Lapanótlse, c…</t>
  </si>
  <si>
    <t>Tres, Lecoq.’</t>
  </si>
  <si>
    <t>Lecoq.’ Tres</t>
  </si>
  <si>
    <t>…ndido el resultado á las es peranzas. Entre los individuos de dicha junta se hallan los ilustres nombres del Príncipe de Hardemberg, Mr- de Bulow, el Príncipe de Wittgenstein y el general Lecoq.’ Tres banqueros han contribuido para tan piadoso objeto •con la cantidad de 2® tkalers. (¿erca de 8© rs.) Los Príncipes, los señores .y.todos los.hacendados han hecho grandes donativos: los habitantes de las aldeas envían granos, y hasta las mugeres han ofrecido en…</t>
  </si>
  <si>
    <t>Trevilla, Andrés de</t>
  </si>
  <si>
    <t>Andrés de Trevilla</t>
  </si>
  <si>
    <t>…sta santa iglesia, vice director, con asistencia de los señores general D. Juan de la Cruz Murgeon, D. Joaquín de Bernad y Vargas, corregidor; D. Pedro Domínguez, inten dente; Dr. D. Andrés de Trevilla, provisor; de otras autoridades; de va rios sugetos de la mayor distinción , y de un numeroso y escogido concurso. Dió principio á la sesión el Dr. D. Josef Melendez, rector de la parroquial de S. Nicolás de la Villa, individuo de la diputación científica de…</t>
  </si>
  <si>
    <t>Trevíño, Antonio</t>
  </si>
  <si>
    <t>Antonio Trevíño</t>
  </si>
  <si>
    <t>…gundo de ia gavilla de Sancli ez, y ha quedado en esta ciudad con el empleo de capitán de la partida de indultados con quienes se presentó, y son los siguientes: D. Manuel Oteiza, D. Antonio Trevíño , D. Damian Arandía , D. Remigio Nieto , D. Igna cio Améscua , D. Juan Pineircs, D. Rías Arandía, Aniceto Acosta, Cayeta no Quintana, Rafael Vega , Agustín Navarrete, Antonio Castrejon, Vicente Perez , Josef María Perez , Josef María Sánchez, Miguel Salas é I…</t>
  </si>
  <si>
    <t>Treviüa, Francisco García</t>
  </si>
  <si>
    <t>Francisco García Treviüa</t>
  </si>
  <si>
    <t>…d entonces de 16 años, con la banda de música del regimiento mím. 12 de cazadores de Portugal, como profesor de esta facultad. La persona que lo supiese lo avisará en esta corte á D. Francisco García Treviüa, del comercio de lienzos, que vive calle de Postas. Estampa alegórica dedicada al lord Wellington por el Excmo. Sr. arzobispo de Santiago: en esta estampa, que por justos motivos no se ha publicado antes á pesar de haberse empezado en 180.8, se ven simbolizad…</t>
  </si>
  <si>
    <t>Tri, Manuel</t>
  </si>
  <si>
    <t>Manuel Tri</t>
  </si>
  <si>
    <t>…en seguida egercitaron todos los niños por el orden que se les tenia señalado, y bajo la dirección de sus respectivos maes tros D. Josef Patricio Buendía, D. Antonio Estrada Nora, D. Manuel Tri gueros y D. Bernardo Diaz Malo, en leer en prosa y en verso, en la calo grafía, en la aritmética especulativa y práctica, en la gramática y orto grafía castellana y en la historia sagrada; lo cual desempeñaron todos con el mayor despejo, mereciendo un general…</t>
  </si>
  <si>
    <t>Troschinsky</t>
  </si>
  <si>
    <t>Núm. 129. [$ cuartos.] 1145 GACETA DE MADRID DEL MARTES 28 DE OCTUBRE DE 1817. RUSIA. Petersburgo 10 de Setiembre, Ha habido una mudanza importante en nuestro ministerio. El caballero Troschinsky, consejero íntimo, y ministro de Justicia, ha hecho dimisión, y ha sido reemplazado por el general de infantería Príncipe de Lobanow-Kostowsky. S. M. el Emperador va acompañado en su viage del Príncipe Wolkonsky, de los condes de Araktsrjow y Osarowsky, y de…</t>
  </si>
  <si>
    <t>Troyano, Josef Manuel</t>
  </si>
  <si>
    <t>Josef Manuel Troyano</t>
  </si>
  <si>
    <t>…ra clase, ofrecieron para ellos un premio separado. Madrid i.° de Enero. El día 3 de Diciembre tuvo la honra de felicitar á S. M. á nombre del ayuntamiento de la ciudad de Huesear D. Josef Manuel Troyano en los tér minos siguientes: „Señor: Vuestro ayuntamiento de la ciudad de Huesear, en el reino de Granada, se sirve en este dia de mi débil voz para manifestar á V. R. M. la suma complacencia y gozo de aquellos habitantes por el feliz y augusto en lace de V.…</t>
  </si>
  <si>
    <t>Trujillo, Josef</t>
  </si>
  <si>
    <t>Josef Trujillo</t>
  </si>
  <si>
    <t>…de Algeciras , se ha ser vido S. M. concederle la naturaleza de estos reinos. Movido el oficial quinto del cuerpo político de la Armada y de la dota ción del departamento de Cádiz D. Josef Trujillo de los mismos patrióticos sentimientos que le Impulsaron en anteriores épocas á ceder en beneficio del Estado la cantidad de 16222 rs. y 3 mrs. vn., loba hecho nuevamente y con el propio objeto de la de 1467 rs. 15} mrs. vn., importe de una certi ficación de…</t>
  </si>
  <si>
    <t>Trujillo, Ramón</t>
  </si>
  <si>
    <t>Ramón Trujillo</t>
  </si>
  <si>
    <t>…eral aplicada á la fisiología y á la medicina: por Francisco Xavier Bichat, médico del hospital de humanidad de Paris, y catedrático de anatomía y fisiología: traducida por el Dr. D. Ramón Trujillo, médico de número de los Reales hospitales General y Pasión de esta corte, catedrático y secretario del Real colegio de cirugía médica de S. Carlos de la misma. En esta obra se ven continua mente diseminadas una multitud de aplicaciones las mas útiles á la fi…</t>
  </si>
  <si>
    <t>Tuckey</t>
  </si>
  <si>
    <t>…r ,y asi habrían de encontrarse las dos expediciones en las ori llas del Congo. La primera estaba al mando del mayor Peddie, que se ha llaba en el Senegal á fines de Setiembre: el capitán Tuckey mandaba la otra. __ Acaba de recibirse carta, fecha en Bahía ¿ 30 de Octubre, cuyo extrac to es como sigue: ,,Han entrado aqui el Congo y la Dorotea, barcos equi pados en la costa de Africa para hacer descubrimientos, los cuales han ve nido desde la costa opu…</t>
  </si>
  <si>
    <t>…e la madre del rio se componía en todas partes de substancias duras., y de piedras pequeñas, las cuales, junto con la rapidez del agua, impedían el anclar ; y en consecuencia , el capitán Tuckey y los sabios agregados á la expedición, tuvieron que buscar el nacimiento del rio por tierra. Después de haber caminado 220 millas ingle sas pasando cuatro cataratas, se vieron obligados a retroceder por las en fermedades y falta de víveres. El diario del cap…</t>
  </si>
  <si>
    <t>Tudela, Francisco Pascual</t>
  </si>
  <si>
    <t>Francisco Pascual Tudela</t>
  </si>
  <si>
    <t>421</t>
  </si>
  <si>
    <t>…eino de Valencia, en 15 de Febrero de 1740: fue educado por los jesuítas en el seminario de nobles del mismo; y estudiando filosofa en su universidad bajo la juiciosa dirección de D. Francisco Pascual Tudela,canónigo despuec de la catedral de Valencia, lo llamó Dios para la religión de la Compañía de Jesús: obediente á sus inspiraciones entró en ella; y concluido* sus estudios se halló al</t>
  </si>
  <si>
    <t>Turvica, Antonio</t>
  </si>
  <si>
    <t>Antonio Turvica</t>
  </si>
  <si>
    <t>…co Amatriain para Arnedillo: en Aragón D. Manuel Arranz , médico de la villa de Aranda de Duero,para Quinto: D. Ramón Marsonell, médico de Ateca, partido de Calatayud, para Alama: D. Antonio Turvica, médico de Iruecha , paraTiermas: D Bartolomé Sierra , médico titular de la ciudad de Mo lina, y honorario de los Reales egércitos, para Panticosa: en Astiirias Don Cayetano Blanco Casariego para las Caldas de Oviedo ó de Priorio: en el reino de Jaén D. Vicen…</t>
  </si>
  <si>
    <t>Tyrhwitt, Tomas</t>
  </si>
  <si>
    <t>Tomas Tyrhwitt</t>
  </si>
  <si>
    <t>…creer que el congreso adop tará unánimemente el proyecto dé ley relativo á impedirá los angloamerica nos la venta de buques armados á los súbditos de las potencias exrrangeras. El caballero Tomas Tyrhwitt, ugier de la vara negra en la cámara de ios pares, pasó un dia de estos á comunicar al lord corregidor cierto aviso de oficio. Hay quien dice que el objeto de esta comisión era requerir al lord para que se presentara cuando gastase con el regidor Goodbehere e…</t>
  </si>
  <si>
    <t>Tzcue, Francisco Xavier</t>
  </si>
  <si>
    <t>Francisco Xavier Tzcue</t>
  </si>
  <si>
    <t>les cruces de comendadores á los cóasules D. Francisco Xavier Tzcue y Don Faustino del Campo, como un testimonio del aprecio que han merecido á S. M. la fidelidad , patriotismo y heroicos esfuerzos de los agraciados por sostener con su generoso comercio en el Alto Perú los sagrados derechos de su soberanía. El dia 17 de Marzo del presente año falleci…</t>
  </si>
  <si>
    <t>Ubilla, Tomas</t>
  </si>
  <si>
    <t>Tomas Ubilla</t>
  </si>
  <si>
    <t>…es nombrados desempeñaron á mi satisfacción cuanto les ordené, habiendo sido la suerte de todos igual en los puntos que ocuparon; portándose del mismo modo el alférez del Príncipe D. Tomas Ubilla , que mandaba la bóveda prin cipal, el P. Fr. Rafael Martínez, del orden de S. Agustín, capellán de esta división, y el capitán D. Josef María Arancibia, que voluntariamente y al gunos meses sin sueldo, me acompaña á todas las expediciones. „ Faltaría á mi de…</t>
  </si>
  <si>
    <t>Ugena, Domingo</t>
  </si>
  <si>
    <t>Domingo Ugena</t>
  </si>
  <si>
    <t>…Dorca, y en Mallorca en la de Carbonell. Entretenimientos sobre las ciencias, escritos en francés por el R. P. Bernardo Lamí, presbítero del oratorio; traducidos é ilustrados por D. Domingo Ugena, pres bítero; dos tomos en 4.0 Se hallarán en la librería de Campo, calle de Alcalá, y en la de González, calle de la Luna. EN LA IMPRENTA REAL.</t>
  </si>
  <si>
    <t>Uhicon, Josef</t>
  </si>
  <si>
    <t>Josef Uhicon</t>
  </si>
  <si>
    <t>…erez Escovar, D. Joaquin Antonio Román, los Sres. Alzueta y Beratarrechea, D. Rafael Rodríguez, D. Juan de Dios Elias, los Sres. Bohe, hermanos y compa ñía, D. Mariano de Urbieia, D. Josef Uhicon, D. Ignacio Suarez, D. Francisco Antonio Abadía, D. Mariano Gil y D. Josef Vilar, últimos tenedores de 32 vales Reales, 15 de ellos de 150 pesos, creación de Enero de 1808, con los números 231689, 245110, 252506, 253818, 255204, 264499, 269131,273684, 283688,…</t>
  </si>
  <si>
    <t>Uiloa, Francisco María de</t>
  </si>
  <si>
    <t>Francisco María de Uiloa</t>
  </si>
  <si>
    <t>…ndo remate el dia 18 del corriente á ía salida de los Señores de la sala en la audiencia de dichjo señor y expresada escribanía. De conformidad de Doña Isabel de Ovando , viuda de D. Francisco María de Uiloa, como madre, tutora y curadora de su hijo menor D. Manuel, y los acreedo res á los bienes de aquel, se están subastando 713 mrs. al rniílar de la dehesa de Pa lacio viejo, de cabida 850 cabezas lanares, y toda su tierra de primera calidad, con una huerta, var…</t>
  </si>
  <si>
    <t>Uíloa, María del Carmen</t>
  </si>
  <si>
    <t>María del Carmen Uíloa</t>
  </si>
  <si>
    <t>…s; y sin embargo del poco tiempo de su enseñanza hubo seis entre ellas, que fueron Doña Ignacia de Medina y Pacheco, Doña María de los Dolores Velasco, Doña María de la Luz Hojas, Doña María del Carmen Uíloa, Doña María Magdalena Uüoa y Doña María de los Dolores Saavedra , quienes sobre el examen de doctrina cristiana leyeron también en prosa y verso, y respondieron á todas las pre guntas sobre las reglas de la aritmética hasta la de proporción simple, pre sentan…</t>
  </si>
  <si>
    <t>Uiruria, Carlos</t>
  </si>
  <si>
    <t>Carlos Uiruria</t>
  </si>
  <si>
    <t>…uientes: En América. El vireinato del Perú al teniente general D. Joaquín de la Pezuela, que lo servia interinamente: la capitanía general de la provincia de Goatemala al teniente general D. Carlos Uiruria, que servia la de la isla de Sto. Domingo: la de las Islas Filipinas al mariscal de campo D, Ambrosio de la Cuadra; y el gobierno de Portobelo, en el nuevo reino de Granada, á D. Juan María Van Hert, primer teniente de Reales guardias de infantería Walona. En…</t>
  </si>
  <si>
    <t>Ulacia, Francisco Ceferino de</t>
  </si>
  <si>
    <t>Francisco Ceferino de Ulacia</t>
  </si>
  <si>
    <t>…tenido á bien la junta adjudicar los tres primeros premios de 5 5 pesos cada uno á D. Ruperto Sacristán, Don Francisco Sola y D. Nicasio Martin; y los tres segundos de 35 pesos á Don Francisco Ceferino de Ulacia, D. Gerónimo Rivas y D. Manuel Burrieza. Y teniendo en consideración que D. Antonio Salcedo, D- Juan Guerra y Don Pedro González Perez han igualado en el mérito de la oposición á los últi mos premiados, ha agraciado á cada uno de dichos alumnos con una caja d…</t>
  </si>
  <si>
    <t>Ulfilas</t>
  </si>
  <si>
    <t>…rvan, que debajo de la letra que está á la vista hay otra que contiene una copia de la traducción Mesogótica de 13 epístolas protocanónicas de S. Pablo, que hizo en el siglo iv el obispo Ulfilas, y de cuya perdida se lamentaban los sabios. Ulfilas, llamado el Moisés de su tiempo, tradujo toda la biblia en len gua mesogótica, esto es, en la de los godos de Mesia, de cuya traducción no se conservaba mas que el Codex argénteas de Upsal, que comprende un…</t>
  </si>
  <si>
    <t>Ulloa, Francisco María de</t>
  </si>
  <si>
    <t>Francisco María de Ulloa</t>
  </si>
  <si>
    <t>…su tierra de primera calidad, su casa de labor, oficinas correspondientes, y con una huerta murada y varias cercas, que se hace de conformidad de Doña Isabel de Ovan do, viuda de D. Francisco María de Ulloa, á cuyos mayorazgos pertenecía, y los acreedores á los bienes de este, para cuyo pago fue declarada libre por S. M.; y la tasación de dicha parte de dehesa asciende á la cantidad de 381312 rs. y 14 mara vedises, para cuyo remate, que se ha de celebrar en el P…</t>
  </si>
  <si>
    <t>Ulloa, Ignacio María de Funes y</t>
  </si>
  <si>
    <t>Ignacio María de Funes y Ulloa</t>
  </si>
  <si>
    <t>…Señor se ha servido promover al actual alcalde mayor de la villa del Corral de Almagueí D. Francisco de Rivas á igual empleo de la de Totana y Aledo, vacante por fallecimiento de D. Ignacio María de Funes y Ulloa. En la villa de Callosa de Segura, reino 'de Valencia, se halla vacante la preceptoría de gramática: tiene de dotación 300 ducados anuales, que por ahora cede la Real junta de fábrica de la parroquial, cobrados por tercias, los asalariados de la iglesia, y ad…</t>
  </si>
  <si>
    <t>Ulzurrun, Esteban</t>
  </si>
  <si>
    <t>Esteban Ulzurrun</t>
  </si>
  <si>
    <t>…. Madrid de Mayo de 1817, El Rey nuestro Señor se ha servido conceder tos empleos siguientes:: En España, El gobierno del castillo de Benasque, en el reino de Ara gón, al teniente coronel D. Esteban Ulzurrun, capitán del regimiento de ca ballería de Santiago: la sargentía mayor de la plaza de S. Fernando de Figueras , en Cataluña, al teniente coronel D. Silvestre Mondelly, capitán del regimiento de infantería de España: la de la puebla de Sanabrfa, en Castilla la…</t>
  </si>
  <si>
    <t>Uraga, Manuela de Horno y</t>
  </si>
  <si>
    <t>Manuela de Horno y Uraga</t>
  </si>
  <si>
    <t>…cedencia, á cuyo efecto se le hallará en su casa, calle de los Tintes, bajando á los Caños del Peral, núm. 7, cuarto principal. También dará razón de unos papeles que pertenecen á Doña Manuela de Horno y Uraga, viuda , vecina que fue de la ciudad de Valladolid, de donde se ausentó en el año de 1781. Quien supiere el paradero de Nicolás de Raura, natural de la ciudad de Zara goza, que por los añes de 80 ¿90 casó en Sevilla, de cuyo matrimonio tuvo un hijo que ha mue…</t>
  </si>
  <si>
    <t>Urbieia, Mariano de</t>
  </si>
  <si>
    <t>Mariano de Urbieia</t>
  </si>
  <si>
    <t>…Franco, Doña Librada Perez Escovar, D. Joaquin Antonio Román, los Sres. Alzueta y Beratarrechea, D. Rafael Rodríguez, D. Juan de Dios Elias, los Sres. Bohe, hermanos y compa ñía, D. Mariano de Urbieia, D. Josef Uhicon, D. Ignacio Suarez, D. Francisco Antonio Abadía, D. Mariano Gil y D. Josef Vilar, últimos tenedores de 32 vales Reales, 15 de ellos de 150 pesos, creación de Enero de 1808, con los números 231689, 245110, 252506, 253818, 255204, 264499, 26913…</t>
  </si>
  <si>
    <t>Urbieta, Bernardo</t>
  </si>
  <si>
    <t>Bernardo Urbieta</t>
  </si>
  <si>
    <t>…endo fuego hora y media. Los valientes realistas sostuvieron con la ma yor serenidad é intrepidez el ataque, á pesar de que á los primeros tiros del enemigo me mataron al realista D. Bernardo Urbieta, quien deja á su po bre madre y una hermana doncella en el mayor estado de pobreza, única desgracia, aunque muy sensible, que tuve en todo el ataque ; pero luego que eílos vieron muertos seis de los suyos, á su comandante Flores mal herido, y lo mismo á su ca…</t>
  </si>
  <si>
    <t>Urbina, Cristóbal Josef de</t>
  </si>
  <si>
    <t>Cristóbal Josef de Urbina</t>
  </si>
  <si>
    <t>maestro D. Cristóbal Josef de Urbina, y acompañados de una brillante mú sica; y hecha señal de silencio principiaron á egercitar promiscuamente los niños porcionistas y alumnos píos por sus respectivas clases sobre la doctri na cristiana y rudimentos de nuestra religión, según el catecismo de la…</t>
  </si>
  <si>
    <t>Urciaga, Mariano</t>
  </si>
  <si>
    <t>Mariano Urciaga</t>
  </si>
  <si>
    <t>…sta villa , por la escribanía de su número que egerce D. Juan Raya; y es tá señalado para el remate el dia 6 de Mayo próximo á la una en la puerta de la audiencia del mismo señor. D. Mariano Urciaga, oficial de ordenanzas del Rey intruso, salió para Francia desde esta corte en Febrero de 1813, y de criado llevaba á Manuel Perez , natural de Labajos, principado de Asturias, vecino de esta villa, quedando este enfermo en Burdeos en el año de 1815, sin que…</t>
  </si>
  <si>
    <t>Urdapilleta, Agustín</t>
  </si>
  <si>
    <t>Agustín Urdapilleta</t>
  </si>
  <si>
    <t>…ro de los rebeldes; Luis LoscSn, francés; Tomas Buffon, deNofuquet, del corsario Alejandro. Joaquin Muro, de S. Luis Potosí, soldado pasado á los rebeldes. Prisioneros rescatados. D. Agustín Urdapilleta» de Veracruz; D. Car los Cobos y Josef Bosque, de Tuxpam, hechos prisioneros por un corsario. Josef Encarnación , Cipriano Pradilla, Venancio Alfaro, de Campeche, pri-</t>
  </si>
  <si>
    <t>Urena, Hemeterio</t>
  </si>
  <si>
    <t>Hemeterio Urena</t>
  </si>
  <si>
    <t>…Rey nuestro Señor se ha servido conceder los empleos siguientes: En América. El gobierno de Popayan al coronel D. Pedro Domínguez, que lo servia interinamente: el de Antioquía al coronel D. Hemeterio Urena, comandante de la plaza de la Guayra; y el del Rio Hacha al teniente coro nel D. Josef Solis , que sirvió interinamente el de Popayan. En España. La tenencia de Rey de la plaza de Peñíscola al teniente coronel D. Sebastian Angaita, capitán agregado al regimie…</t>
  </si>
  <si>
    <t>Uriarte, Francisco Xavier</t>
  </si>
  <si>
    <t>Francisco Xavier Uriarte</t>
  </si>
  <si>
    <t>…n expedido también por la primera secretaría de Estado las siguientes: Al conde de Fernán Nuñez la denominación de duque de Casa-FernanNuñez; al teniente general de la Real Armada D. Francisco Xavier Uriarte, comandante general del departamento de Cartagena, la gran cruz de Car los ni; ai teniente general D. Félix Calleja la gran cruz de Isabel ia Católi ca; al tesosero de egército D. Rafael García de Pizarro cruz de comendador en la misma orden ; y cruces de cab…</t>
  </si>
  <si>
    <t>Urioste, Jorge de</t>
  </si>
  <si>
    <t>Jorge de Urioste</t>
  </si>
  <si>
    <t>…completa aprobación de los individuos de la junta y concurrentes los sugetos siguientes: D. Francisco de Villota á los 14 meses de estudio: D. Felipe de la Puente, D. Miteo Regil, D. Jorge de Urioste, D. Juan de Murrieta y D. Ildefonso de Llano á los 20 meses: D. Anto nio de Calera á los 16: D. Juan de Arredondo á los 14 ; y D. Segundo de Olavarriaá los 22 , sin contar otros tres , que también instruidos como estos, yen igual tiempo, habían salido antes á…</t>
  </si>
  <si>
    <t>Urquinaona, Manuel</t>
  </si>
  <si>
    <t>Manuel Urquinaona</t>
  </si>
  <si>
    <t>…rgico discurso, que dan do gracias al magistrado y espectadores, y haciendo un elogio del sistema de la actual educación pública , y de los decretos de nuestro Soberano, pronunció D. Manuel Urquinaona , de edad de siete años, y alumno de esta escuela; el cual, como todos sus condiscípulos, merecieron mil aplausos del concurso y del alcalde mayor, que dando gracias al preceptor por su zelo y eficacia, le previno dispensase dos dias de sus tareas; con lo que…</t>
  </si>
  <si>
    <t>Urraburu, Xuis Antonio de</t>
  </si>
  <si>
    <t>Xuis Antonio de Urraburu</t>
  </si>
  <si>
    <t>…. anuales, y ademas un real por cada visita. Los pretendientes que obtengan las dos facultades acudan con sus respectivos memoriales y relación de méritos en todo el mes de Mayo á Don Xuis Antonio de Urraburu, vecino de la citada villa de Villaro. La plaza de maestro de primeras letras de la villa de Casarubios del Monte, dis tante siete leguas escasas de la corte, se halla vacante: su dotación es de 8 rs. dia rios, pagados por semanas ó como mejor acomode al que…</t>
  </si>
  <si>
    <t>Urraza, Juan Antonio de</t>
  </si>
  <si>
    <t>Juan Antonio de Urraza</t>
  </si>
  <si>
    <t>…ada en 3500 rs. Quien quisiere hacer postura á todas ó á cada una de dichas fincas acuda dentro del referido término ante el men cionado señor juez por la escribanía del número de D. Juan Antonio de Urraza, que se admitirán las que hicieren siendo arregladas , y se manifestarán los títulos de pertenencia. El Sr. D. León de la Cámara Cano, del Consejo de S. M. en el supremo de Ha cienda, teniente primero de corregidor de esta villa, ha señalado para celebrar jun…</t>
  </si>
  <si>
    <t>Urreiztieta, Joaquín</t>
  </si>
  <si>
    <t>Joaquín Urreiztieta</t>
  </si>
  <si>
    <t>…eridos 10. Al momento dispuse el asalto, for mando una columna respetable de granaderos y cazadores, que confié al acreditado valor del teniente coronel del regimiento de la Union coronel D. Joaquín Urreiztieta ; el resto de Barbastro á las órdenes de su sar gento mayor D. Vicente Bausá quedó en reserva para que acudiese adon de fuese necesario, y la caballería de dragones con la del pais á las del co mandante de escuadrón D. Josef Navas fue á colocarse hacia el Cem…</t>
  </si>
  <si>
    <t>Urrieta, Manuel Ximeno y</t>
  </si>
  <si>
    <t>Manuel Ximeno y Urrieta</t>
  </si>
  <si>
    <t>…e ia'imprcnta Real. Colección de los apologistas antiguos de la religión cristiana, escrita en francés por el señor abate de Gourcy , y traducida por el doctor en sagrada teología Don Manuel Ximeno y Urrieta: dos tomos en 4.0, impresos en 1792. Véndense á 30 rs. en papel en el almacén de la imprenta Real. En la librería de Cuesta, calle de Correos , y en su puesto, gradas de S. Felipe, se halla de venta un villancico á solo con sus letras ,dos á dúo y á tres, con…</t>
  </si>
  <si>
    <t>Urriza, Lope</t>
  </si>
  <si>
    <t>Lope Urriza</t>
  </si>
  <si>
    <t>…subteniente D. Ignacio Bobadi lla, idem D. Joaquin Arzamendi, Ídem D. Josef María Carmona, el ciru jano D. Miguel Añon, el cadete D. Francisco Rodríguez, idem D. Juan La gos, idem D. Lope Urriza, del regimiento fijo. El subteniente D. Juan Mo rilla, de la partida de España. El alférez D. Josef Mariano Campo, el ca dete D. Bernardo Franco, idem D. Josef Zacarías Puente, de lanceros. El alférez D. Joaquin Nuñez, de húsares. El alférez D. Antonio Romero…</t>
  </si>
  <si>
    <t>Urrutia</t>
  </si>
  <si>
    <t>…alló en toda la guerra contra Francia des de i.° de Mayo de 1793 hasta su conclusión, mandando las guerrillas á las órdenes de los generales Ricardos y la Union, y últimamente del general Urrutia, que le nombró su ayudante de campo. En cuantas acciones dieron nuestras armas á las enemigas fue siempre modelo de valor: esta primera vir tud militar la poseía en tal grado, que el general D. Valentín de Belvis (hoy conde de Villariezo), que mandaba una de…</t>
  </si>
  <si>
    <t>Urrutia, Clemente García Escudero y</t>
  </si>
  <si>
    <t>Clemente García Escudero y Urrutia</t>
  </si>
  <si>
    <t>…nónigo, dignidad de arcediano de Sepúlveda en la santa iglesia de Segovia , y auditor honora rio de la Nunciatura. Consiliario i.° D. Josef María Diez Quijada y Oveje ro. Idem 2.0 D. Clemente García Escudero y Urrutia. Idem 3.0 D. Pablo Govantes. D. Marcos Galan , D. Antonio Castellano y Cabrejano, D. Juan González Miranda, D. Antonio Arias de Prada , D. Justo Saenz de S. Pedro, D. Gabriel Ceruelo de Velasco y D. Josef Sacasa. Capellán D. Francisco Carpintero y Eraso. Para…</t>
  </si>
  <si>
    <t>Urrutia, Tomas</t>
  </si>
  <si>
    <t>Tomas Urrutia</t>
  </si>
  <si>
    <t>…cía Carrasquedo; D. Francisco Es cudero; D. Ildefonso Ruiz del Rio; D. Luis Gargollo; D. Josef López del Diestro ; D. Andrés Marzan; D. Juan Miguel de Lostra; D. Antonio Fajar do; D. Tomas Urrutia; D. Josef Xavier de Zuluaga y D. Josef de Veamurguía, individuos de la junta de reemplazos establecida en Cádiz; D. Josef Miguel Formento, coronel de milicias de Fondo; D. Agustín Rodríguez y Fernandez, vecino de Montevideo; al capitán de fragata D. Juan Baut…</t>
  </si>
  <si>
    <t>Urtiz, Fermín</t>
  </si>
  <si>
    <t>Fermín Urtiz</t>
  </si>
  <si>
    <t>…á este campo á tiro de fusil, trayendo consigo una bandera blanca para hacer ver á los que lo ocupaban que solo deseaba el que se rindieran á discreción. ,,Luego que fue vista por D. Fermín Urtiz hizo poner en un baluarte otra de igual color, significando con esta acción la buena disposición en que se hallaba, y que solo deseaba hablar con los parlamentarios para entregar este campo. ,, Inmediatamente despaché los correos con los dos oficios que V. S.…</t>
  </si>
  <si>
    <t>Uüoa, María Magdalena</t>
  </si>
  <si>
    <t>María Magdalena Uüoa</t>
  </si>
  <si>
    <t>…mpo de su enseñanza hubo seis entre ellas, que fueron Doña Ignacia de Medina y Pacheco, Doña María de los Dolores Velasco, Doña María de la Luz Hojas, Doña María del Carmen Uíloa, Doña María Magdalena Uüoa y Doña María de los Dolores Saavedra , quienes sobre el examen de doctrina cristiana leyeron también en prosa y verso, y respondieron á todas las pre guntas sobre las reglas de la aritmética hasta la de proporción simple, pre sentando planas en todas reglas, y varias labo…</t>
  </si>
  <si>
    <t>Uzin, Francisco Xavier de</t>
  </si>
  <si>
    <t>Francisco Xavier de Uzin</t>
  </si>
  <si>
    <t>…9, que pasó á campaña en clase de cabo segundo con destino á la tercera compañía del tercer batallón, desde cuya época se ignora su paradero. El que lo sepa se ser virá avisarlo á D. Francisco Xavier de Uzin, presbítero, beneficiado en Azcoitia, provincia de Guipúzcoa. En la ciudad de Arnedo, en la Rioja, provincia de Soria, se halla vacante la cátedra de latinidad, cuya dotación son 400 ducados anuales, pagados puntual mente por la misma ciudad: ademas los estud…</t>
  </si>
  <si>
    <t>V'ilches, Gonzalo Josóf de</t>
  </si>
  <si>
    <t>Gonzalo Josóf de V'ilches</t>
  </si>
  <si>
    <t>Ante el limo. Sr. D. Gonzalo Josóf de V'ilches, del Consejo y Cámara de S. M., juez protector y privativo del Real patronato de los santos luga res de Jerusalen, y D. Tomas de Sancha y Prado, secretario deL mismo, se ha promovido expediente á instancia del procurador general del propio Real patronato sobr…</t>
  </si>
  <si>
    <t>Va-</t>
  </si>
  <si>
    <t>…mino de ro dias, conta dos desde su publicación, á todos los acreedores á los bienes quedados por la fin y muerte de Doña Mannela Vitrian, vecina que fue de esta corte, y viuda de D. Va-</t>
  </si>
  <si>
    <t>Vaca, Manuel Fernando</t>
  </si>
  <si>
    <t>Manuel Fernando Vaca</t>
  </si>
  <si>
    <t>…gado á Camargo y todo su egército bajo de una llave, tal vez no los hubiera tomado tan á medida del deseo. Recomiendo á V. E. áestos meritorios, hom bres que los conduce su patrón D. Manuel Fernando Vaca, que trabaje) en su conquista, quien instruirá menudamente de lo ocurrido. Va también con él el capiran de granaderos D. Casimiro Hoyos, que entregarán el parte y demas referido : ha trabajado este primorosamente en su compañía en este y todos los ataques que…</t>
  </si>
  <si>
    <t>Vada, Francisco Antonio Isidro Noriega de</t>
  </si>
  <si>
    <t>Francisco Antonio Isidro Noriega de Vada</t>
  </si>
  <si>
    <t>…el juzgado del Sr. D. Joaquín Almazan , del Consejo de S. M., teniente primero de corregidor de esta muy heroica villa, se cít3, llama y emplaza á ios pa rientes mas inmediatos de D. Francisco Antonio Isidro Noriega de Vada, adminis trador de rentas de la ciudad de Tortosa, y que se crean con derecho á heredar en su caso, y en propiedad sus bienes, el cual era natural de la parroquia de S. Juan de Pa tres, concejo de Parres, principado de Asturias, hijo legítimo de D. Manuel y d…</t>
  </si>
  <si>
    <t>Vade, Manuel Pascual de</t>
  </si>
  <si>
    <t>Manuel Pascual de Vade</t>
  </si>
  <si>
    <t>…sos correspondientes, nombró por examinadores á sugetos de conocida inteligencia y literatura, á fin de que graduasen debida mente el mérito de cada uno de los niños. Estos fueron D. Manuel Pascual de Vade, D. Casimiro Fabalio Velez y D. Pedro Gómez Arguello, curas párrocos de las tres iglesias parroquiales de esta villa, y á los RR. PP. Fr. Diego Martin, lector de moral del orden de Sto. Domingo; Fr.Gaspar Car rillo , lector jubilado de teología, del orden de…</t>
  </si>
  <si>
    <t>Vaguer, Josef</t>
  </si>
  <si>
    <t>Josef Vaguer</t>
  </si>
  <si>
    <t>…ernando de Figueras , en Cataluña, al teniente coronel D. Silvestre Mondelly, capitán del regimiento de infantería de España: la de la puebla de Sanabrfa, en Castilla la Vieja , á D. Josef Vaguer, teniente agregado al estado mayor de la plaza, de Madrid: la de Ibiza al capitán D. Joaquin 'Martínez y Fernandez,, temente del regimiento infantería de Ceuta: la de Cardona, en Cataluña, al tenien te coronel D. Francisco Requesens, capitán agregado al batal…</t>
  </si>
  <si>
    <t>Vaílejo, Josef Mariano</t>
  </si>
  <si>
    <t>Josef Mariano Vaílejo</t>
  </si>
  <si>
    <t>…osa y en verso por el método práctico de D. Vicente Naharro; en escribir por el det Ex celentísimo Sr. D. Josef de Anduaga ; en las cinco reglas de la aritmética por el tratado de D. Josef Mariano Vaílejo; en la gramática y ortografía castella na por la de la Real Academia española, yen las reglas de urbanidad y po lítica por el catecismo del P. Santiago Delgado. El autor ha de tratar y re solver la cuestión bajo todos los aspectos; manifestando ademas el orde…</t>
  </si>
  <si>
    <t>Valay, Domingo</t>
  </si>
  <si>
    <t>Domingo Valay</t>
  </si>
  <si>
    <t>…dríguez» En trigonometría esférica el mismo Rodríguez, Perez, Pujadas, Galceran, Loureiro, Palacios y D. Benito Pereira. En cosmografía el referido Perez, D. Juan Pablo Rodríguez, D. Domingo Valay, D. Francisco Galceran y D. Lino Pacheco. En geografía los referidos Pujadas, Valay y D. Fermín Galceran. En navegación los expresados Perez y D. Juan Pablo Rodríguez; y en la hidrostática é hidráulica los referidos Pacheco y D. Francisco Gal ceran: habiendo…</t>
  </si>
  <si>
    <t>Valbuena, Manuel</t>
  </si>
  <si>
    <t>Manuel Valbuena</t>
  </si>
  <si>
    <t>…misas á igual número de niños y niñas pobres . y seis pares de zapatos; y con el fin de estimular á los jóve nes de la cátedra de latinidad costeó el diccionario latino-español de Don Manuel Valbuena, magníficamente encuadernado, para.que sirviese de pre^</t>
  </si>
  <si>
    <t>Valbuena, Manuel de</t>
  </si>
  <si>
    <t>Manuel de Valbuena</t>
  </si>
  <si>
    <t>…mpo, gobierno de la casa, cria de ganado, y curación de las enfermedades que mas comunmente padecen los hombres y los animales. Diccionario universal latino-español, compuesto por D. Manuel de Valbuena: tercera edición corregida y aumentada por el autor, y dedicada al Rkv nuestro Se ñor. Se vende en Madrid en la librería de Calleja, calle de las Carretas, á y6 rea les en pasta. Concordia de los cuatro santos evangelios, según las versiones que corren en len…</t>
  </si>
  <si>
    <t>Valdelomar, Francisco Antonio</t>
  </si>
  <si>
    <t>Francisco Antonio Valdelomar</t>
  </si>
  <si>
    <t>…igo con esta fecha lo siguiente: ,,He dado cuenta al Rey del oficio de V.E, de 2 de Julio ultimo, en el que hace presente la duda suscitada entre el Teniente Coronel de Infantería D. Francisco Antonio Valdelomar, Capitán de Granaderos del Regimiento provincial de Córdoba, residente en la villa de Castro del Rio, y un Capi tán del de Húsares de Bailen , Comandante de la Partida de remonta esta blecida en la misma villa, sobre la Comandancia de Armas en ella; y S. M.,…</t>
  </si>
  <si>
    <t>Valdelomar, Francisco Antonio Jurado</t>
  </si>
  <si>
    <t>Francisco Antonio Jurado Valdelomar</t>
  </si>
  <si>
    <t>…ompuesta del Lie. D. Antonio María Navarro, alcalde mayor, y presidente de la corporación, D. Joaquín María de Corral y Cuellar, regidor, alférez mayor ,y teniente de corregidor , D. Francisco Antonio Jurado Valdelomar, teniente coronel, y capitán de granaderos del regimiento provincial de Córdoba, y el escribano D. Antonio Martínez de la Cruz. El dia 6 del presente mes felicitó á S. M. y A. la M. I. y L. villa de Aleira, cabeza de partido en el reino de Valencia, por medio…</t>
  </si>
  <si>
    <t>Valderrábano, Tomas</t>
  </si>
  <si>
    <t>Tomas Valderrábano</t>
  </si>
  <si>
    <t>…critura de fianzas, gastos de factoría y remate, todo de cuenta de dicho comprador. La persona que quisiere hacer postura por dos ó mas años acudirá al comendador procurador mayor D. Tomas Valderrábano por la secretaría de D. Rafael Martin Antón, secretario del citado cabildo. Tratado de economía política, ó simple exposición del modo con que se for man, distribuyen y consumen las riquezas: por Juan Bautista Say; refundido por el mismo en esta nueva edición…</t>
  </si>
  <si>
    <t>Valdés, Antonio de Prado</t>
  </si>
  <si>
    <t>Antonio de Prado Valdés</t>
  </si>
  <si>
    <t>…do esto no se verifique, 1500 rs. anuales, si se cobrasen los réditos del ca pital impuesto en los gremios. Los pretendientes remitirán dentro de un mes sus memoriales á los Sres. D. Antonio de Prado Valdés y D. Francisco de Heredia, comisionados al efecto por el ayuntamiento. Se halla vacante la plaza de médico de Ja villa de Yebra, en la Alcarria, pro vincia de Madrid, distante de la corte 10 leguas, cuyo vecindario es de 250 veci nos todos en habitación baja: su dotación 600 ducados a…</t>
  </si>
  <si>
    <t>Valdés, Gerónimo</t>
  </si>
  <si>
    <t>Gerónimo Valdés</t>
  </si>
  <si>
    <t>…á este mi cuartel gene ral escoltando dinero y varios efectos que venían de Potosí, dispuse saliese á las nueve de la noche de dicho día el interino gefe de estado mayor gene ral D. Gerónimo Valdés con 300 hombres de Extremadura, 200 de Ge rona , 60 caballos del escuadrón de mi guardia y dragones de la Union con una pieza de artillería, con objeto de ver si sorprehendia la partida del cau dillo Corte, que según noticias tenia su campamento en los bajos…</t>
  </si>
  <si>
    <t>Valdés, Juan Arguelles</t>
  </si>
  <si>
    <t>Juan Arguelles Valdés</t>
  </si>
  <si>
    <t>…esorero de la metrepolitana de Sevilla; y á D. Diego de la Torre, canónigo de la santa iglesia primada de Toledo. Plaza de juez mayor de Vizcaya en la chancillería de Valladolid á Don Juan Arguelles Valdés. El Rey nuestro Señor por su Real decreto de i o de este mes se ha dig nado conceder honores de la Cámara de Guerra á los tesoreros generales D. Víctor Soret y D. Julián Fernandez Navarrete en atención á sus méri tos y servicios, y á ser considerados de la cl…</t>
  </si>
  <si>
    <t>Valdés, Juan Menendez</t>
  </si>
  <si>
    <t>Juan Menendez Valdés</t>
  </si>
  <si>
    <t>…s. — Granada rendida, del mismo, romance endecasílabo á rs-----La toma de Grana da, por D. Efren Lardnaz y Morante, á i\ rs. — Batilo, égloga en alabanza de la vida del campó, por D. Juan Menendez Valdés, á rs. — La felicidad de la'vida del campo, égloga por D. Francisco Agustín de Cisneros (D. Tomas de Inarte), á rs.__Sátira contra los vicios introducidos en la poesía castellana, por D. Juan Pablo Forner, á i\ rs.—Lección poética, sátira sobre el mismo asunt…</t>
  </si>
  <si>
    <t>Valdés, Manuel</t>
  </si>
  <si>
    <t>Manuel Valdés</t>
  </si>
  <si>
    <t>…). Francisco de Paula de Cárdenas : para la del Viso de Alcor á D. Amonio María de Rodas: para la de los valles de Soba, Rnesga y Villaverde á Don Manuel Tagle: para la de Baena á D. Manuel Valdés: para la de Lodosa á D. Esteban Ximenez Dorador : para la de Peñaranda de Bracamonte á Don Dámaso Megía Girón , corregidor que era de Rueda del Almirante: para la de Salas de ¡os Infantes á D. Josef Antonio Vázquez: para la de Friailiana á D. Juan Padilla y O…</t>
  </si>
  <si>
    <t>Valdivia, Manuel María de Torres</t>
  </si>
  <si>
    <t>Manuel María de Torres Valdivia</t>
  </si>
  <si>
    <t>…los pormenores para recompensar los méri tos particulares que hayan contraído en ellos. Asimismo recibió ayer el Excmo. Sr. virey del comandante de la provin cia de S. Luis Potosí brigadier D. Manuel María de Torres Valdivia el ofi cio y parte que sigue : ,, Excmo. Sr.: Para el debido conocimiento y satisfacción de V. E. le acompaño original el parte que con fecha 11 del corriente me dirige el capi tán de Nueva Vizcaya D. Josef Marques, comandante de la división de la Parada , en…</t>
  </si>
  <si>
    <t>Valdivia, Torres</t>
  </si>
  <si>
    <t>Torres Valdivia</t>
  </si>
  <si>
    <t>…. S. muchos años. Oj uelos Diciembre ir de 1816 á las 4 de la tarde. = Josef Marques. = Sr. brigadier D. Manuel María de Torres.” Asimismo ha dispuesto S. E. se den las gracias al Sr. Torres Valdivia y al capitán D. Josef Marques. Sevilla gi de Mayo. La Real compañía de navegación del Guadalquivir celebró ayer útil mente los dias de nuestro augusto Soberano, botando al agua el primer bar co de vapor que se há construido en España, igual en su forma y dime…</t>
  </si>
  <si>
    <t>Valdivieso, Mariano Tríbes</t>
  </si>
  <si>
    <t>Mariano Tríbes Valdivieso</t>
  </si>
  <si>
    <t>…de Estado, con honores de oficial segundo de ella. Honores de secretario de S. M. A D, Andrés de Egaña , oficial mayor de la tesorería de la Real y distin guida orden de Carlos m; D. Mariano Tríbes Valdivieso, capitán retirado, y secretario de la junta de caminos de Orihuela, y D. Manuel Perez Cabe llos , oficial mayor de la Real negociación del Giro.</t>
  </si>
  <si>
    <t>Valdomer</t>
  </si>
  <si>
    <t>…rnan dez Gamboa, del Consejo de S. M., alcalde de su Real casa y corte, de 26 del pa sado. La persona que quisiere hacer mejora acuda ante dicho señor y escribanía de provincia de D. Valdomer© Moraleda, que se le admitirán las que hiciere siendo .arregladas. En virtud de providencia de 29 del pasado del limo. Sr. D. Estéban Antonio de Orellana, del Consejo y Cámara de S. M. en el Real y supremo de la Guerra, su perintendente general del Real fisco…</t>
  </si>
  <si>
    <t>Valencia, Diego Cisneros</t>
  </si>
  <si>
    <t>Diego Cisneros Valencia</t>
  </si>
  <si>
    <t>…Junquera de Ambia á Don Juan Francisco Bajo: para la de Estrernera á D. Antonio Madoiell y Cas tillo: para la de Monteagudo á D. Mariano Beaumont y Bretón: para la dé Mombeltran á D. Diego Cisneros Valencia: para la de Villanueva del Fres no á D. Lucas Vázquez Garcés: para la de Monremayor, en Castilla, á D. Josef Urbano Sancho; y para la de Bodonal á D. Josef de Acha. El Rey nuestro Señor se ha servido conceder á D. Josef Luaces y Pru no, maestrante de Ronda, s…</t>
  </si>
  <si>
    <t>Valenzue-, Antonio Pimentel y</t>
  </si>
  <si>
    <t>Antonio Pimentel y Valenzue-</t>
  </si>
  <si>
    <t>…regidor de la ciudad de Guadix: para este corregimiento á D. Honorio María de Muro, que lo era de Almonte: para el de Montiüa, vacante por muerte de D. Antonio Piernas Martínez, á D. Antonio Pimentel y Valenzue-</t>
  </si>
  <si>
    <t>Valenzuela, Antonio</t>
  </si>
  <si>
    <t>Antonio Valenzuela</t>
  </si>
  <si>
    <t>…pleo de auditor de guerra de la provincia de Castilla la Nueva á D. Benito Salinas, que servia igual empleo en la de Castilla la Vieja; la plaza que queda vacante por esta razón á D. Antonio Valenzuela, que ocupaba la de Ceuta, y para llenar la que tam bién resulta vacante en el reino de Aragón por jubilación de D. Josef de la Cantolla se ha servido S. M. nombrar á D. Vicente dei Campo, auditor que fue del egército del centro. Por providencia del Sr. D. Joa…</t>
  </si>
  <si>
    <t>Valenzuela, Antonio Polo</t>
  </si>
  <si>
    <t>Antonio Polo Valenzuela</t>
  </si>
  <si>
    <t>…vor de la justa causa por D. Fernando Ramírez Luque, cura beneficiado de Lucena, y por los vecinos de la misma ciudad D. Amonio Ortiz Repiso, brigadier de los Reales egercitos; el coronel Don Antonio Polo Valenzuela, y el maestranre de Granada D. Francisco Asís de la Guerra, ha venido en concederles una medalla de distinción, que confor me al diseño presentado y aprobado será de oro, orlada con ocho rayos de plata en forma de estrella, cuyo centro lo ocupará un cerro, co…</t>
  </si>
  <si>
    <t>Valenzuela, María Josefa de Galvez y</t>
  </si>
  <si>
    <t>María Josefa de Galvez y Valenzuela</t>
  </si>
  <si>
    <t>…no haciéndolo asi, serán los susodichos acreedores excluidos del beneficio del referido decreto. El dia 29 de Mayo falleció en esta corte de edad de 40 años y medio la Excma. Sra. Doña María Josefa de Galvez y Valenzuela, marquesa de So nora, condesa de Castroterreño, dama noble de la Real orden de la Reina María Luisa, y secretaria de la junta unida de Damas á la sociedad patrióti ca. Cultivado con el mayor esmero su extraordinario talento por el zelo de sus virtuosos padres…</t>
  </si>
  <si>
    <t>Valiente, Josef Pablo</t>
  </si>
  <si>
    <t>Josef Pablo Valiente</t>
  </si>
  <si>
    <t>…ncaminan sus paternales desvelos. En consideración á los distinguidos servicios con que han contribuido á la pacificación de lasAméricas el ministro del Consejo y Cámara de Indias Don Josef Pablo Valiente, el teniente general de los Reales egércitos conde del Abisbal y el brigadier de la Real armada D. Domingo de Monteverde, se ha dignado el Rey nuestro Señor agraciarles con la gran cruz de la Reai orden Americana de Isabel la Católica.. En la Real capilla de…</t>
  </si>
  <si>
    <t>Valiente, Onofre</t>
  </si>
  <si>
    <t>Onofre Valiente</t>
  </si>
  <si>
    <t>…ÑA. México 16 de Diciembre. Parte del teniente coronel D. Matías Martin y Aguirre. jjExcmo. Sr.. Ei 25 del corriente llego a esta hacienda, en cumplimiento de mis prevenciones, el capitán D. Onofre Valiente, conduciendo á la santí sima Virgen de Zitacuaro, que se hallaba en Valladolid, para cuyo efecto tenia dada orden el antecesor de V. E. para que se trajese por Acamba-</t>
  </si>
  <si>
    <t>Valle</t>
  </si>
  <si>
    <t>…rra no escuchó sino á su honor , con la generosa resolu-*cion de morir primero que rendirse. ,, Animadas con tal egemplo le siguieron todas las clases de la población. El valiente coronel Valle , que se hallaba arrestado algunos meses antes, se deja ver en la plaza, y reconocido segundo gefe por orden del señor Vivero, acredita como siempre su valor y pericia militar: el recomendable capitán de cazadores D. Juan Bautista Elío con grande actividad at…</t>
  </si>
  <si>
    <t>Valle, Benito Diez del</t>
  </si>
  <si>
    <t>Benito Diez del Valle</t>
  </si>
  <si>
    <t>…uisiere tratar de su compra podrá acudir á la escribanía del número de esta villa que egerce D. Juan Raya. Habiéndose estimado por formado concurso necesario á los bienes que dejó Don Benito Diez del Valle, portero que fue del Real y supremo Consejo de Jas Indias, se cita y emplaza á los que seah acreedores á él, para que dentro de 15 días, con tados desde hoy, en que se incluyen tres términos, y el último perentorio, com parezcan ante el Sr. D. Joaquín Áltnaza…</t>
  </si>
  <si>
    <t>Valle, Juan Fernandez del</t>
  </si>
  <si>
    <t>Juan Fernandez del Valle</t>
  </si>
  <si>
    <t>…ión: un tomo en 8.° Se hallará en las librerías de Barco, carrera de S. Gerónimo, y en la de Dávila , calle de las Carretas. En la misma librería se hallan las obras siguientes de D. Juan Fernandez del Valle: Cirugía general, foren se y particular, tres tomos en 8.0n:Tratado completo de la flebotomía ú operacio nes de la sangría, un tomo en 8.°™Tratado teórico y práctico de las hernias en ge neral, un tomo en 8.°zzOperaciones de los partos de D. Juan de Navas, co…</t>
  </si>
  <si>
    <t>Valle, Juan María del</t>
  </si>
  <si>
    <t>Juan María del Valle</t>
  </si>
  <si>
    <t>…la muerte que dio al titulado coronel de rebeldes Ramón Llamas, y derrota de la partida que mandaba. „Rt*comiendo á V. E. la actividad del expresado oficial, ai capitán gra duado D. Juan María del Valle, que mandaba la partida que logró esta ven taja? y al teniente D. Benito Aguirre que le acompañó. „Dios guarde á V. E. muchos años. Ixtlahuaca Marzo 14 de 1817.= Excmo. Sr. = Matias Martin y Aguirre. = Excmo. Sr. virey D. Juan Ruiz de Apodaca.” Parte del capi…</t>
  </si>
  <si>
    <t>Valle, Pedro del</t>
  </si>
  <si>
    <t>Pedro del Valle</t>
  </si>
  <si>
    <t>…tiempo de estudio que ha tenido, le agraciaron con una caja de lapiceros : en la de mú sica instrumental ganaron D. Mariano Ruíz el primer premio, D. Saturio Lindres el segundo, y D. Pedro del Valle el tercero. A cada uno de los pre miados poso el corregidor una medalla de plata con su lema en el anverso alusivo á la atribución ú objeto del arte, yen el reverso las armas de la ciu dad , siendo los cuatro primeros premios sobredorados. El corregidor Don J…</t>
  </si>
  <si>
    <t>Valle, Vicente del</t>
  </si>
  <si>
    <t>Vicente del Valle</t>
  </si>
  <si>
    <t>…á manos de los contrabandistas en la acción de 22 de Enero ultimo en la raya de Portugal; y S. M. enterado de que Josef Herrero era individuo de la ronda que está á cargo dei cabo D. Vicente del Valle, que se distingue en el servicio por su zelo y actividad , por cuyo me dio han tenido un aumento conocido los valores en aquel distrito; y confor mándose con el dictámen de VV. SS., ha resuelto que á D. Vicente del Valle se le den 1® rs. de vn. por una vez de…</t>
  </si>
  <si>
    <t>Valle-Roldan, Francisco de</t>
  </si>
  <si>
    <t>Francisco de Valle-Roldan</t>
  </si>
  <si>
    <t>…cretaría del despacho de Ma*" r“‘ r “»*/ Cruces supernumerarias „ ,A D* Man. a,no García Puerta, veinticuatro de Granada ; D. Tosef Mariano Cabanes, regidor perpetuo de Barcelona; D. Francisco de Valle-Roldan, decano de la Rota de la Nunciatura; D. Miguel Herrera, dignidad de la ca tedral de la Havana; D. Manuel González de la Vega, vecino de la Hava5a ’i DV.A'!drC'S Im?z Altolaguirre, deán de la catedral de León; D. Manuel de la Madriz, vecino de Potes, maestrant…</t>
  </si>
  <si>
    <t>Valledor, Francisco</t>
  </si>
  <si>
    <t>Francisco Valledor</t>
  </si>
  <si>
    <t>…ismo fueron premiados algunos otros labradores., que por ~u esmero y laboriosidad se habian hecho acreedores á ~er recompensados de sus fatigas, entre los cuales merece ser citado D. Francisco Valledor ~ del concejo de AHande, que manifestó tener 59 enjambn:s de abejas en en jones, dis ... puestos de suerte qUt.~ puede extraerse la obra sin incomodar á las abejas. En lns artes y otras industrias fueron premiados distintos artesanos, y varias mugeres que se…</t>
  </si>
  <si>
    <t>Vallejo, Josef Mariano</t>
  </si>
  <si>
    <t>Josef Mariano Vallejo</t>
  </si>
  <si>
    <t>…a y geometría práctica para uso de los jóvenes artistas, por Bailstun tomo en 8.°, á4 rs. en papel, 5 en pergamino y 6 en pasta. = Adiciones á la geometría de D. Benito Baiis, por D. Josef Mariano Vallejo: en 4.0, á 6 rs. en papel, 8 en rús tica y 11 en pasta. “Compendio de la arquitectura de Vitruvio de Mr. Perrault, traducido al castellano por D. Josef Castañeda: un tomo en 8.° mayor, á 12 rs. en papel, 14 en rústica y 18 en pasta. “Actas de la Real academia…</t>
  </si>
  <si>
    <t>…ratado elemental de matemáticas, escrito de orden de S. M. para uso de los caballeros seminaristas del Real seminario de Nobles de Madrid y demas casas de educación del reino, por D. Josef Mariano Vallejo, catedrático que fue de matemá ticas , fortificación, ataque y defensa de las plazas en dicho Real seminalio, indivi duo de varios establecimientos científicos, y bibliotecario de la Real sociedad eco nómica matritense: tomo 2.0, parte i.a, que contiene la tr…</t>
  </si>
  <si>
    <t>Vallejo, Mariano</t>
  </si>
  <si>
    <t>Mariano Vallejo</t>
  </si>
  <si>
    <t>…la Soledad Moreno de Bodega, y los socios D. Josef Felipe Olive y D. Federico Moreti, no habiendo habido lugar á admitir dos mas que ofrecieron los socios D. Josef María Ce las y D. Mariano Vallejo, con lo cual se procedió solo al sorteo del primer premio, que cupo en suerte al discípulo D. Ignacio Clemente. Después de esto el Excmo. Sr. director recomendó á ios discípulos la necesidad de acre ditar en lo sucesivo igual aplicación ; manifestó al catedrá…</t>
  </si>
  <si>
    <t>Vallejo, Pascual</t>
  </si>
  <si>
    <t>Pascual Vallejo</t>
  </si>
  <si>
    <t>…de "Enero. El día 23 de Diciembre tuvo la honra de felicitar á S. M. por su efec tuado enlace la universidad literaria de Zaragoza por medio de una diputa ción compuesta del Excmo Sr. D. Pascual Vallejo, consejero honorario de Estado, y nombrado ministro plenipotenciario de S. M. en la Suiza, del limo. Sr. D. Ignacio Martinez de Viliela, consejero de Castilla con hono res de la cámara, y de los señores D. Nicolás María de Sierra, del propio consejo, y D. Tom…</t>
  </si>
  <si>
    <t>Valon, Félix</t>
  </si>
  <si>
    <t>Félix Valon</t>
  </si>
  <si>
    <t>…los que sabrán sostener á V. M.,desde el mas anciano hasta el mas balbuciente niño, hasta derramar la última gota de su sangre.” ARTICULO DE OFICIO. S. M. se ha servido conceder á D. Félix Valon, capitán retirado , y ve cino de la ciudad de Barbastro, su Real permiso para poder usar la conde coración de la flor de Lis con que le ha agraciado &gt;S. M. Cristianísima.</t>
  </si>
  <si>
    <t>Valverde, Manuel</t>
  </si>
  <si>
    <t>Manuel Valverde</t>
  </si>
  <si>
    <t>…. de Real orden para su noticia y cumplimiento.” Y la inserta á V. esta Dirección general para los fines á que se dirige. Dios guarde á V. muchos años. Madrid 18 de Marzo de 1817. D. Manuel Valverde, vecino y del comercio de la ciudad de Cartagena, y fabricante de curtidos en ella , ha conseguido de S. M. la gracia de poner el escudo de armas Reales sobre las puertas de su fabrica, y poner á los géneros de dicha fábrica el título de Real fabrica de curti…</t>
  </si>
  <si>
    <t>Van-der-Capellen</t>
  </si>
  <si>
    <t>396 Larache. El éxito de este negocio lia aumentado mucho el buen concepto del cónsul general Mr. Nisen , á quien ha mandado S. M. manifestar su satisfac ción. El vice-almirante Van-der-Capellen había tomado las disposiciones oportunas para apoyar la reclamación del cónsul general, y el comercio del reino puede sin temor entregarse á sus especulaciones, pues la navegación hallará una protección eficaz contra todo ataque en los valientes marinos de qu…</t>
  </si>
  <si>
    <t>Van-Halen, Antonio</t>
  </si>
  <si>
    <t>Antonio Van-Halen</t>
  </si>
  <si>
    <t>…a de haber egercido el ministerio de la Nunciatura Apostólica bajo los auspicios y la alta protección del inmortal Rey Católico Fernando vii.” El capitán de infantería de Numancia D. Antonio Van-Halen, ayudante de Campo del Excmo. Sr. D. Pascual Enrile, segundo general del egército expedicionario de Costa-firme, al presentar á S. M. una magnífica custo dia, copon, cáliz y vinageras, todo de oro guarnecido de grandes esmeral das y perlas, que el egército y…</t>
  </si>
  <si>
    <t>Vandame</t>
  </si>
  <si>
    <t>…dos cámaras, la población de Francia, sin comprender la Córcega y las colonias, es en el dia de 28.818,041 almas. Ayer abrió Mr. Say en el Ateneo su curso de economía política. El general Vandame se halla actualmente en Amsterdan, y solicita per miso para embarcarse con destino á los Estados- Unidos. La junta general del banco ha fijado el dividendo del segundo semestre de 1816 en 40 francos por acción , quedando una reserva de tres francos. PORTUGAL.…</t>
  </si>
  <si>
    <t>£1 general Vandame se ha embarcado en el Texel para Filadelfia. Según las últimas noticias dti Brasil habían salido ya tres expediciones de Bahía ^contra Perwambuco, y el cuerpo de tropas que marchaba por tierra había ya pasado los límites de aquella provincia ; de manera que l…</t>
  </si>
  <si>
    <t>Vanden-Boegard</t>
  </si>
  <si>
    <t>…su permanencia en París manda el egército ingles el te niente general Hill, su compañero de gloria eu las campañas inmortales de Portugal y de España. Parece cierto que el general barón Vanden-Boegard está nombrado go bernador militar de Surinam. Este militar distinguido por sus calidades es belga de nacimiento, y ha vivido mucho tiempo en nuestras colonias de América. _ GRAN BRETAÑA. Londres 1$ de Enero. La disminución de las rentas públicas en el año pas…</t>
  </si>
  <si>
    <t>Vantcuant-Geozelles</t>
  </si>
  <si>
    <t>…a se adoptara generalmente para, los ministros de segundo órdenr. . El. barón de Kustones,mi nistro de Prusia cerca de nuestra corte, está también acreditado en la de Mu nich.; el barón Vantcuant-Geozelles es al mismo tiempo encargado de nega-cios en. Austria, en Hesse-Cassel y en Uannóver, y Mr. Hoffér, ministro de Austria cerca del Príncipe de Mpcklemburgo, lo es también en las ciudades anseáticas. Como las relaciones son en eí dia menos com plicadas á causa…</t>
  </si>
  <si>
    <t>Vara, Bernardo</t>
  </si>
  <si>
    <t>Bernardo Vara</t>
  </si>
  <si>
    <t>…r de la división expedicionaria, D. Agustín Otermin, el adicto á dicha división D. León Iturbe , el capitán graduado de teniente coronel Don Juan Nepomuceno Montero, los tenientes D. Bernardo Vara y D. Antonio Rebollo, y el subteniente D: Tomas Brigidos, todos del regimiento de la Union , el subteniente de Barbastro D. Agustín Isumarri, el teniente de Na varra D. Antonio Villa, y el de la misma clase graduado del regimiento de Burgos D. Juan 'derla Cruz' Osores.</t>
  </si>
  <si>
    <t>…elona, y lo hirieron á lanzadas gravemente: el teniente coronel gefe del estado mayor de la división expedicionaria D. Agustín Otermin; el capitán D. Juan Neporrmceno Montero y el teniente D. Bernardo Vara, del regimiento de la Union: el teniente de Navarra D. Antonio Villa, y el de Burgos D. Juan de la Cruz Osores, que fueron heridos: Vara y Villa á pesar de sus heridas con tinuaron en la acción; y al teniente de cazadores de Burgos D. Manuel Martinez. El brig…</t>
  </si>
  <si>
    <t>Varas, Antonio de</t>
  </si>
  <si>
    <t>Antonio de Varas</t>
  </si>
  <si>
    <t>…s de 1900 términos facultativos, y según la mente de su autor viene á formar ei complemento del tomo 9,0, parte i/^Aritmé tica y geometría práctica de la academia, extractadas por D. Antonio de Varas del tomo i.u de los e i eme utos de Bails, i.a edición: un tomo en 4.0, á 9 rs. en papel, lien rústica y 1 5 en pasta. (ÓV continuará ~ EN LA IMPRENTaIuLAE</t>
  </si>
  <si>
    <t>Varela, Manuel Fernandez</t>
  </si>
  <si>
    <t>Manuel Fernandez Varela</t>
  </si>
  <si>
    <t>…espacho de Hacienda de Indias; D. Josef Villar y Frontín, oficial de la secretaría del despacho de Hacienda de España. Honores del tribunal de la Rota de la Nunciatura A los Sres. D. Manuel Fernandez Varela, deán de Lugo; D. Antonio García Bermejo, capellán de honor de S. M.; D. Pablo Lorenzo Largo Carrasco , canónigo doctoral de la catedral de Cuenca ;, D. Esteban Rodrí guez Salas, canónigo de la catedral de Málaga; D. Josef de Urrutia y Egurvide Azula canónigo…</t>
  </si>
  <si>
    <t>n6j Cuenca: á D. Esteban Rodríguez y Salas, canónigo de la de Málaga; y á D. Manuel Fernandez Varela, deán de la de Lugo. Honores de conjueces del tribunal apostólico y Real de la gracia del Ex cusado á D. Mateo Jara , canónigo tesorero de la santa iglesia catedral de Co ria : á D. Francisco Amar, canónigo de la metropolitana de Zaragoza: á Don Francisco Cas…</t>
  </si>
  <si>
    <t>Vargas</t>
  </si>
  <si>
    <t>…yo. El cabildo de México ha regalado al Padre Santo varias alhajas de oro pertenecientes al culto divino ricamente guarnecidas de diamantes, y encer radas en una caja preciosa. El caballero Vargas, ministro de España, ha te nido la honra de presentarla á S. S. Se aumentan de día en dia las excavaciones de Campo-Vaccino. El em bajador de Portugal ha hecho últimamente un ensayo feliz, bajo la dirección de su amigo el abogado Fea , pues ha encontrado el e…</t>
  </si>
  <si>
    <t>Vargas, Joaquín de Bernad y</t>
  </si>
  <si>
    <t>Joaquín de Bernad y Vargas</t>
  </si>
  <si>
    <t>…director presidió el Dr. Don Manuel María de Arjona, canónigo penitenciario de esta santa iglesia, vice director, con asistencia de los señores general D. Juan de la Cruz Murgeon, D. Joaquín de Bernad y Vargas, corregidor; D. Pedro Domínguez, inten dente; Dr. D. Andrés de Trevilla, provisor; de otras autoridades; de va rios sugetos de la mayor distinción , y de un numeroso y escogido concurso. Dió principio á la sesión el Dr. D. Josef Melendez, rector de la parroqu…</t>
  </si>
  <si>
    <t>Vargas, Josef</t>
  </si>
  <si>
    <t>Josef Vargas</t>
  </si>
  <si>
    <t>…partes insertos en la gaceta extraordinaria de dicha capital. En oficio de 7 del corriente avisa el mismo comandante general D. Josef de la Cruz que se habían presentado á indulto D. Josef Vargas y D. Joaquín Salgado, que tenían entre los rebeldes los títulos de mariscal de campo y brigadier, en unión de otros muchos de los que servían bajo sus órdenes con el nombre de oficiales, y bastante numero de soldados con armas y caballos, esperando que cada momento se aumentase l…</t>
  </si>
  <si>
    <t>Vargas, Juan Jacinto de</t>
  </si>
  <si>
    <t>Juan Jacinto de Vargas</t>
  </si>
  <si>
    <t>…Josef Olazabal; á D. Juan Hernández de Alba, oidor de la au diencia de Puerto-Príncipe; D. Martin Gil y Garcés, deán de la catedral de Valladolid de Mechoacan; al capitán de navio D. Juan Jacinto de Vargas; D. Antonio Julián Alvarez, oidor de la audiencia de Puerto-Príncipe; Don Mariano Ruiz de Navainuel, dignidad de la catedral de Chile; D. Francisco Pablo Vázquez , dignidad de la catedral de Puebla de los Angeles; D. Pe dro Perez Muñoz, vecino de Quito; D. Ma…</t>
  </si>
  <si>
    <t>Varleta</t>
  </si>
  <si>
    <t>…; pero viendo que esto era infructuoso se mando avanzar sobre Sta. Fe y Tunja. Entre tanto declaran guerra á muerte los revoltosos en Ja provincia de Antioquía; penetra en eila el coronel Varleta; derrota al enemigo; se reha ce este ; vuelve á ser derrotado, y se fugan los venezolanos. Preséntame ios habitantes; se olvida lo pasado; el pueblo se conduce bien, y no corre una gota de sangre. En Simiti sorprenden los rebeldes la guarnición; asesinan 24 s…</t>
  </si>
  <si>
    <t>Varneistein, Pablo Josef</t>
  </si>
  <si>
    <t>Pablo Josef Varneistein</t>
  </si>
  <si>
    <t>…tidos en clase de alumnos, acompañadas de los correspondientes documentos de fees de bautismo, limpieza de sangre y la expresada obligación de los padres ó parientes. Por parte de D. Pablo Josef Varneistein, vecino y del comercio de la ciudad de Cádiz, se ha acudido ante el Sr. D. Joaquín Almazan, del Consejo de S. M., teniente corregidor de esta villa, y escribanía del número que egerce D. Antonio Villa y Fernandez, reclamando el reintegro de un vale Real de 30…</t>
  </si>
  <si>
    <t>Vasallo, Nicolás</t>
  </si>
  <si>
    <t>Nicolás Vasallo</t>
  </si>
  <si>
    <t>…gercicio de decretos, y oficial de la secretaría de Estado y del despacho universal de Hacienda de Indias, individuo de la matrícula de dicho consulado en la ciase de hacendado, y D. Nicolás Vasallo, individuo también de dicha matrícula en la de comerciantes, comisionado en esta corte; y el primero dijo: ,, Señor: El consulado de la ciudad de Alicante % que en los días de luto y desolación hizo los mayores esfuerzos para resistir al tirano de la Europa,…</t>
  </si>
  <si>
    <t>Vasallo, Pascual</t>
  </si>
  <si>
    <t>Pascual Vasallo</t>
  </si>
  <si>
    <t>…ia. En Zaragoza. En Granada. En Santiago. En Zamora.. El Rey nuestro Señor se ha servido aprobar la cátedra de agricultura y botánica , y la de comercio y lenguas establecidas por D. Pascual Vasallo, D. Francisco Piqueres y D. Luis Bellon, prior y cónsules del consulado de Alicante; dignándose aprobar S. M. el nombramiento de catedrático para la primera en IX Claudio Boutelou,. y para la segunda en el presbítero D. Pe dro Baille y Laviña * siendo de su s…</t>
  </si>
  <si>
    <t>Vasconi, Demetrio</t>
  </si>
  <si>
    <t>Demetrio Vasconi</t>
  </si>
  <si>
    <t>…zco ,al tercero D. Juan de Dios Guer rero, y á los ayudantes por el zeloy exactitud con que desempeña cada uno sus deberes. Los jovenes que sobresalieron en todos Tos ramos fueron D. Demetrio Vasconi, D. Francisco Rodríguez Sánchez, D. Mariano Guerrero, D. Josef Vega Serien, D. Francisco Cívico , D. Salvador Mifsud, D. Manuel Gimé nez y D. Diego Meras. Madrid 21 de Febrero» El dia 19 del. pasado tuvo la honra de besar la Real mano de S. M. una diputación…</t>
  </si>
  <si>
    <t>Vázquez, Antonio</t>
  </si>
  <si>
    <t>Antonio Vázquez</t>
  </si>
  <si>
    <t>…enido mas noticia de su paradero, se suplica á la persona que lo se pa que avise á su padre Domingo Menendez, dependiente de la casa del Excmo. Señor duque de Híjar en esta corte. D. Antonio Vázquez, grabador honorario de cámara de S. M., que ha tenido la satisfacción de dibujar y grabar el retrato de la Reina nuestra Señora solo de ver ja en el paseo el dia de su entrada en esta corte, y que ha merecido la común acep tación, le lia vuelto á grabar de pu…</t>
  </si>
  <si>
    <t>Vázquez, Francisco</t>
  </si>
  <si>
    <t>Francisco Vázquez</t>
  </si>
  <si>
    <t>…de Longoria; en el Ferrol en la de Peso, y en Lugo en la botica de Novoa. Egercicio cotidiano según el espíritu de la Iglesia: por el P. Teodoro de Almeida, y traducido por el P. D. Francisco Vázquez; un tomo en 8.° á jo rs. en pasta.~Escarmiento del alma y guia á la unión con Dios: por el P. Fr. Gerónimo de Morales, del orden de S. Agustín: un tomo en 12.0 á 8 rs. en pasta. Se hallarán en las librerías de Brun, frente á las gradas de S. Felipe, y de Rodr…</t>
  </si>
  <si>
    <t>…uios en actos de desagravios por las injurias hechas al Santísimo Sacramento, y novena para la fiesta del Corazón de Jesús*, por el P. Teodoro de Almeida &amp;c.; traducidos por el P. D. Francisco Vázquez, prepósito de S. Cayetano de esta corte. En este libro da á conocer el autor los tesoros de amor divino que tenemos en el corazón de Jesús, que se nos da en el Santísimo Sacramento, como fuente de las gracias y misericordias, y como atractivo de nuestra confi…</t>
  </si>
  <si>
    <t>Vázquez, Francisco Pablo</t>
  </si>
  <si>
    <t>Francisco Pablo Vázquez</t>
  </si>
  <si>
    <t>…l capitán de navio D. Juan Jacinto de Vargas; D. Antonio Julián Alvarez, oidor de la audiencia de Puerto-Príncipe; Don Mariano Ruiz de Navainuel, dignidad de la catedral de Chile; D. Francisco Pablo Vázquez , dignidad de la catedral de Puebla de los Angeles; D. Pe dro Perez Muñoz, vecino de Quito; D. Mateo de Agüero Marcos, secreta rio general interino de la orden, y al capitán de navio D. Alejandro Gu tiérrez de Ruvalcaba. Cruces de Caballeros A los Sres. D. Ma…</t>
  </si>
  <si>
    <t>Vázquez, Josef</t>
  </si>
  <si>
    <t>Josef Vázquez</t>
  </si>
  <si>
    <t>…América. Los empleos de teniente de Rey de la plaza de Caracas, de cabo subalterno de las provincias de Venezuela y de comandante del ba tallón veterano de la capital al Brigadier D. Josef Vázquez: la ayudantía mayor de la plaza de Panamá á D. Juan Bautista Sanguinete, capitán de llaves de la misma: la de la de S. Agustín de la Florida á D. Eusebio Caro, teniente de la plana mayor de blancos, agregado al cuerpo de pardos: la se gunda de la de Puerto-Ri…</t>
  </si>
  <si>
    <t>Vázquez, Josef Antonio</t>
  </si>
  <si>
    <t>Josef Antonio Vázquez</t>
  </si>
  <si>
    <t>…e Lodosa á D. Esteban Ximenez Dorador : para la de Peñaranda de Bracamonte á Don Dámaso Megía Girón , corregidor que era de Rueda del Almirante: para la de Salas de ¡os Infantes á D. Josef Antonio Vázquez: para la de Friailiana á D. Juan Padilla y Ortiz, alcalde mayor que era de la ciudad de A /amon te : para la de Rivadavia á D. Joaquín Hernández : para la de S. Pedro Man rique á D. Antonio Zapatero y Pomar: para la de Herrera del Duque á Don Pedro Cano, alca…</t>
  </si>
  <si>
    <t>Vázquez, Josef García</t>
  </si>
  <si>
    <t>Josef García Vázquez</t>
  </si>
  <si>
    <t>…Cadenas, Don Juan García, D. Manuel Ribera, D. Máximo y D. Joaquín Vargas, Don Felipe Crespo, D. Francisco Canillas, D. Pedro Miguel, D. Genaro Sal gado, D. Cándido de la Fuente , D. Josef García Vázquez , D. Aquilino Lu nar, D. Pedro Gómez, D. Celedonio Casado, D. Vicente Berdion , Don Joa quín Lumeras, D. Tomas Asensio, D. Mateo Rodriguez, D. Valentín Ga veta, D. Pedro Martin, D. Antonio Fernandez, D. Andrés Redondo, Don Federico Movilla, D. Bernardo Huelga…</t>
  </si>
  <si>
    <t>Vázquez, Manuel</t>
  </si>
  <si>
    <t>Manuel Vázquez</t>
  </si>
  <si>
    <t>…ños los inas dignos entre los mas pobres de todas las escuelas y el sordo-mudo, á elección de los jueces, lo que se verificó al dia siguiente con igual solemnidad. Asimismo el Dr. D. Manuel Vázquez, prebendado de esta santa iglesia primada, ofreció vestir completamente á Juan Moraleda,de edad de siete años, que había obtenido el uno de los premios en aritmética. Madrid 21 de Noviembre, La Real y suprema junta general de caridad, encargada porS. M. de la…</t>
  </si>
  <si>
    <t>Vázquez, Martin Santin y</t>
  </si>
  <si>
    <t>Martin Santin y Vázquez</t>
  </si>
  <si>
    <t>…eferidas fincas, ó parte de ellas, acuda ante el Sr. D. Joaquín de Almazan y Xirneno, del Consejo de S. M., teniente corregidor de esta misma villa, por la escribanía numeraria de D. Martin Santin y Vázquez; en el concepto de que no se admitirá ninguna que no sea á dinero metálico, ó deje de cubrir el importe de la tasación. A voluntad de su dueño, y con Real facultad, se venden 285 fanegas y ocho ce lemines de tierra de buena calidad en un solo pedazo, en el té…</t>
  </si>
  <si>
    <t>Veas, Antonio García de</t>
  </si>
  <si>
    <t>Antonio García de Veas</t>
  </si>
  <si>
    <t>…osef de Trani, cura párroco de Uadros., en el obispado de Urgel, 4173 rs. en créditos contra la Real hacienda. El ayuntamiento de Arcos de la Fron tera por medio de su comisionado D. Antonio García de Veas 52382 rs. en</t>
  </si>
  <si>
    <t>…la plaza de Santoña, en Castilla la Vieja, á D. Francisco Pardo, teniente del regimiento de infantería de Burgos. También se ha servido nombrar S. M. para la auditoría de Ceuta á Don Antonio García de Veas, auditor que fue del egército de la izquierda. El Rey nuestro Señor se ha servido conceder su Real permiso al comi sario ordenador honorario D. Francisco Fuertes, cortador del Crédito pú blico en Sevilla , para que pueda usar del distintivo de la cruz de la E…</t>
  </si>
  <si>
    <t>Vega, Damian Celestino de</t>
  </si>
  <si>
    <t>Damian Celestino de Vega</t>
  </si>
  <si>
    <t>…!- pies, valuado en 4041 rs. Quien quisiere hacer postura á dichas fincas acuda ante dicho señor subdelegado, y por la escribanía de la misma subdelegacion que se halla á cargo de D. Damian Celestino de Vega, calle de Jas Urosas, núm. 8, cuar to principal, en la que se admitirán siendo arregladas. En virtud de providencia del Sr. D. León de la Cámara Cano, del Consejo de S. M. en el supremo de Hacienda, teniente primero de corregidor, y corregidor interino de est…</t>
  </si>
  <si>
    <t>Vega, Dionisio Jesús</t>
  </si>
  <si>
    <t>Dionisio Jesús Vega</t>
  </si>
  <si>
    <t>…destacamentos de realistas fieles de Sama Bárbara , Bernal, Detiga , Santa María Peñamillera &amp;c. reuní 68 hombres, que al mando de los oficiales teniente D. Juan Ortega y alférez D. Dionisio Jesús Vega marcha ron á la sierra en persecución de los rebeldes, caminando por cerros asperí simos , y avanzaron 26 leguas distante de esta villa , sufriendo las penalida des que ofrecen estos terrenos; pero nada es difícil á los buenos y activos servidores del Rey; pu…</t>
  </si>
  <si>
    <t>Veiga, Josef Vicente</t>
  </si>
  <si>
    <t>Josef Vicente Veiga</t>
  </si>
  <si>
    <t>…ría el citado Martínez , D. Josef María Loureiro, D. Manuel María Vicario , Don Cosme Arias, D. Josef Alonso, D. Benito Pereira, D. Florencio Pereira, D. Juan Francisco Rodríguez, D. Josef Vicente Veiga, D. Joseí Abad y D. Gregorio Cancela. En trigonometría plana los mismos Martínez , Lourei ro, Galceran, Vicario, Arias, Pujadas, Cancela , D. Benito y D. Florencio Pereira, D. Josef Perez, D. Ignacio Palacios y D. Juan Pablo Rodríguez» En trigonometría esféri…</t>
  </si>
  <si>
    <t>Veire, Ezpeleta de</t>
  </si>
  <si>
    <t>Ezpeleta de Veire</t>
  </si>
  <si>
    <t>…ona 28 de Julio. El dia 8 de este mes celebró el nobilísimo reino de Navarra el solemne y magestuoso acto del Real juramento de fidelidad que prestó á S. M. y en su Real nombre al conde Ezpeleta de Veire, virey de aquel reino, en la iglesia catedral de esta ciudad, lugar destinado á este fin con arreglo á sus fueros y antigua costumbre. Esta regia función se hizo con toda la magnifi cencia y ostentación que requería tan augusta ceremonia, habiéndose dis puest…</t>
  </si>
  <si>
    <t>Vela, Josef</t>
  </si>
  <si>
    <t>Josef Vela</t>
  </si>
  <si>
    <t>…ontoya; y elogio del mismo señor director, leído por el Dr. D. Ignacio Cevallos Viilagutierre , á 2 rs._Oración fúnebre que en las exequias del Excmo Sr. duque de Alba dijo el Dr. D. Josef Vela, í 2 rs. —Relación de las exequias que celebró la academia por el alma de su director el Excmo. Sr. marques de Villena el año de 1738 , á 2 rs.—También se hallan venales diversas oraciones presentadas á los Reyes nuestros Señores con motivo de sus exaltacione…</t>
  </si>
  <si>
    <t>Velarde, Romualdo Mon y</t>
  </si>
  <si>
    <t>Romualdo Mon y Velarde</t>
  </si>
  <si>
    <t>…us importantes servicios en el desempeño de su delicado cargo pastoral de la referida mitra, se ha ser vido presentarle para el arzobispado de Tarragona, vacante por traslación de D. Romualdo Mon y Velarde al de Sevilla. Por el Ministerio de Hacienda , á solicitud de la junta suprema de Sani dad , se ha servido el Rey nuestro Señor mandar que mientras dure el actual peligro de la peste de Africa cese la habilitación concedida á la ensenada de Terreros, en la co…</t>
  </si>
  <si>
    <t>Velasco, Alfonso</t>
  </si>
  <si>
    <t>Alfonso Velasco</t>
  </si>
  <si>
    <t>…arrancados. „Me ayudó mucho á esto, como á la formación de un reducto en el mo mento después de la acción , primero el subteniente Miranda,y después el ci rujano de dicho batallón D. Alfonso Velasco, y el distinguido del mismo</t>
  </si>
  <si>
    <t>Velásco, Alfonso</t>
  </si>
  <si>
    <t>Alfonso Velásco</t>
  </si>
  <si>
    <t>…iranda y del distinguido D. Nicolás Cóndelle , se ha servido conceder al primero el grado de tenien te en su clase,y promover al segundo á sargento; teniendo presenté al ciru jano D. Alfonso Velásco para dispensarle oportunamente las gracias corres pondientes á los de su clase. PORMENORES DE LA RENDICION DE LOS FUERTES DE ATOYAC Y CHIQUIHUITE. Oficio del brigadier D. Ciríaco de Llano, ,, Excmo. Sr.: Consecuente con lo que ofrecí á V. E. en mi oficio ex t…</t>
  </si>
  <si>
    <t>Velasco, Félix de</t>
  </si>
  <si>
    <t>Félix de Velasco</t>
  </si>
  <si>
    <t>…que de villa se le franquean para que las siem bre. Los pretendientes dirigirán sus memoriales á la justicia del expresado pueblo por mano de su escribano de número y ayuntamiento D. Félix de Velasco; tenien do entendido que su provisión se ha de realizar en todo el presente mes. Libia, ó la conjuración contra Viríato: tragedia por D. Judas Josef Romo, de dicada á la Excma. Sra. Doña Luisa Escrivá, marquesa viuda de Valdecarzana. Vén dese á 4 rs. en las l…</t>
  </si>
  <si>
    <t>Velasco, Gabriel Ceruelo de</t>
  </si>
  <si>
    <t>Gabriel Ceruelo de Velasco</t>
  </si>
  <si>
    <t>…udero y Urrutia. Idem 3.0 D. Pablo Govantes. D. Marcos Galan , D. Antonio Castellano y Cabrejano, D. Juan González Miranda, D. Antonio Arias de Prada , D. Justo Saenz de S. Pedro, D. Gabriel Ceruelo de Velasco y D. Josef Sacasa. Capellán D. Francisco Carpintero y Eraso. Para el de S. Bartolomé en Salamanca. Rector D. Ramón de Aguilar Fernandez de Córdoba. Consiliario T.° Don Anselmo de Isla Manrique. Idem 2° D. Ambrosio de Velasco y Oraoño Rosales. Idem 3.0 D. Francisco Zapata Bueno…</t>
  </si>
  <si>
    <t>Velasco, Manuel</t>
  </si>
  <si>
    <t>Manuel Velasco</t>
  </si>
  <si>
    <t>…ngoa el segundo, y en la de mi ñores D. Manuel Ordazgasti el tercero: en la de álgebra D. Juan Fuertes el primero, y D. Henrique Salazar el segundo: en la de aritmética el tercero D. Manuel Velasco : en la de dibujo y arquitectura D. Benito Campo el primero, D. Ramón Garrido el segundo, y D. Amtonio Msnglano el tercero; y á Lorenzo lbañez, cabo del regimiento de caballería del Infan te, por el buen desempeño de su examen con respecto al corto tiempo de…</t>
  </si>
  <si>
    <t>Velazquez, Diego</t>
  </si>
  <si>
    <t>Diego Velazquez</t>
  </si>
  <si>
    <t>…ipa 1 y Reina Doña Jua na, de Cárlos v, de Felipe ni, de Felipe iv, de Cárlos 11 y de Fernando el vi, á 4 rs. cada una; de Cárlos m á 2 rs.; y de los profesores Pablo de Céspedes, Don Diego Velazquez y D. Antonio Palomino, á 4 rs. cada una.. — Advertencia. El diccionario histórico de los profesores de bellas artes, del señor Cean, también se hallará de venta en la librería de Castillo, frente á las gradas de S. Felipe. El salmo Miserere, traducido y glosado en décimas latinas…</t>
  </si>
  <si>
    <t>Velazquez, Isidro</t>
  </si>
  <si>
    <t>Isidro Velazquez</t>
  </si>
  <si>
    <t>…eca, han hecho presente á S. M. haberlo ya concluido con toda la solidez y firmeza que permiten las obras de esta espe cie; habiendo sido examinada por el maestro carpintero mayor D. Isidro Velazquez, que lo ha declarado por sóiído y conforme en un todo al plan que se dio para su egecucion ; en consecuencia de lo cual se ha dado prínci-</t>
  </si>
  <si>
    <t>Velazquez, Josef Señan y</t>
  </si>
  <si>
    <t>Josef Señan y Velazquez</t>
  </si>
  <si>
    <t>…hacer postura á dichas fincas acudirá á la referida escribanía, donde se admitirán las que se hicieren siendo arregladas. Guia ó estado general de la Real Hacienda de España : por D. Josef Señan y Velazquez: un tomo en 8.° de cerca de 700 páginas. Véndese en la imprenta de Vega y Compañía, calle de Capellanes, á 26 rs. en pasta, y 22 en rústica. Si antes de la pasada guerra con los franceses era ya recomendable esta obra entre las de mas de su clase por el orden…</t>
  </si>
  <si>
    <t>Velero, Lorenzo</t>
  </si>
  <si>
    <t>Lorenzo Velero</t>
  </si>
  <si>
    <t>…co Hidalgo y Aviia.=De asistencia Nicolás María de Castro. Acta del pueblo de Jalapa de Tabasco. En el pueblo de Jalapa á 25 de Setiembre de 1815 el teniente de mi licias regladas D. Lorenzo Velero, administrador de justicia de este partido, el señor cura D. Bernardino Lugo, que al efecto se le pasó oficio de ruego y encargo, el diputado D. Juan Antonio Sala, teniente de la compañía de realistas fieles del mismo partido, que hace de síndico, y el capitá…</t>
  </si>
  <si>
    <t>Velez, Casimiro Fabalio</t>
  </si>
  <si>
    <t>Casimiro Fabalio Velez</t>
  </si>
  <si>
    <t>…ó por examinadores á sugetos de conocida inteligencia y literatura, á fin de que graduasen debida mente el mérito de cada uno de los niños. Estos fueron D. Manuel Pascual de Vade, D. Casimiro Fabalio Velez y D. Pedro Gómez Arguello, curas párrocos de las tres iglesias parroquiales de esta villa, y á los RR. PP. Fr. Diego Martin, lector de moral del orden de Sto. Domingo; Fr.Gaspar Car rillo , lector jubilado de teología, del orden de S. Francisco, y Fr. Francisco Colodiílo, pre…</t>
  </si>
  <si>
    <t>Ventades, Pablo</t>
  </si>
  <si>
    <t>Pablo Ventades</t>
  </si>
  <si>
    <t>…bondad de oir contestará los caballeros cade tes á las preguntas que se les hicieron por el primer profesor el coronel del cuerpo D. Josef Vergara, que con el segundo, el teniente coronel D. Pablo Ventades , encargado de la biblioteca, y los demas profesores y ayudantes de la academia recibieron á SS. MM. y AA. á la entrada de aquella, y fue ron informando á S. M. del orden de estudios, extensión de ellos, uso de los instrumentos y máquinas, y de cuanto tuvo á…</t>
  </si>
  <si>
    <t>Vergara, Josef</t>
  </si>
  <si>
    <t>Josef Vergara</t>
  </si>
  <si>
    <t>…el rio dispuse que el capitán de realistas fieles D. Alejandro Luvian fuese con 20 infantes por el flanco derecho, y por el izquierdo con igual número el teniente del mismo cuerpo D. Josef Vergara , dándoles dos horas de tiempo para que pudiesen pasar aquellos mon tes inaccesibles; y oportunamente me dirigí á las despreciables trincheras que nuevamente tenían reforzadas; y como mis guerrillas llegasen tan á tiempo por su retaguardia duró poco el tirote…</t>
  </si>
  <si>
    <t>…rias. Con efecto, dada la orden por S. M. tuvo la bondad de oir contestará los caballeros cade tes á las preguntas que se les hicieron por el primer profesor el coronel del cuerpo D. Josef Vergara, que con el segundo, el teniente coronel D. Pablo Ventades , encargado de la biblioteca, y los demas profesores y ayudantes de la academia recibieron á SS. MM. y AA. á la entrada de aquella, y fue ron informando á S. M. del orden de estudios, extensión de ell…</t>
  </si>
  <si>
    <t>Vergara, Vicente María de</t>
  </si>
  <si>
    <t>Vicente María de Vergara</t>
  </si>
  <si>
    <t>…or el Sr. marques de Villores, teniendo á su derecha al Excmo. Sr. D. Francisco Xavier Elío, copitan general de este egército y reino. Se dio principio por un discurso que dijo el secretario D. Vicente María de Vergara, manifes tando los deseos de la sociedad de promover con preferencia por las circuns tancias de nuestra nación la agricultura , y propuso algunos medios para los progresos de esta importante arte. A continuación leyó el extracto de las ac tas del cuerpo desde…</t>
  </si>
  <si>
    <t>Verges, Manuel</t>
  </si>
  <si>
    <t>Manuel Verges</t>
  </si>
  <si>
    <t>…de Rivas, escribano de provincia y comisiones de la misma, y del juzgado de co mandancia de los Reales cuerpos de Artillería é Ingenieros de esta plaza, se cita, llama y emplaza á D. Manuel Verges, á cuyo favor resultan endosados dos vales Reales de 600 pesos de la creación de Mayo de 1808, señalados con los números 386836 y 398456, para que en el término de 30 dias, contados desde el de esta publicación, acuda al juzgado del citado señor alcalde por l…</t>
  </si>
  <si>
    <t>Vi</t>
  </si>
  <si>
    <t>…estimula á la tierna infancia. Ultimamente el niño premiado D. Jaime Manent recitó una canción, dando gracia* á nom fcre de sus compañeros; y lo mismo practicó por el de las niñas Doña Vi centa Vidal, recitando otra canción. Para costear estos premios contdbuyeron generosamente el Excmo. Sr. arzobispo director con 3© rs.; el Lino. Se ñor comisario general de Cruzada con 3500; el Sr. vice-director con 160, y el Sr. D. Juan Martínez de Hermosill…</t>
  </si>
  <si>
    <t>…terminado, por estar asi mandado. Los interesados en los bienes de la casa y negocios de D. Ambrosio María Andriany, que vivia en el año de 1753 , se presentarán en el juzgado del Sr. D. Vi cente Tormo y Pont, del Consejo de S. M., su alcalde honoraria del crimen de la Real chancillaría de Granada, mayor teniente corregidor de la ciudad de Málaga, y escribanía de D. Francisco María Piñón, dentro de seis meses, contados desde 12 del pasado, que p…</t>
  </si>
  <si>
    <t>…o en 8.° á 10 rs. en pasta y 8 á la holandesa. ~ Instrucción militar cristiana para uso de los caballeros cadetes del Real colegio militar de Segovia, traducida del francés por el capitán D. Vi cente de los Ríos: un tomo en 12.0 á 6 rs. á la holandesa y 4 á la rústica. Se ha llarán en la librería de la viuda de Aguilera, calle de los Preciados. Viage del Sumo Pontífice Pío vji á Francia, con el retrato de S. S. Contiene los pormenores y causa de la…</t>
  </si>
  <si>
    <t>Vi'ches, Gonzalo Josef de</t>
  </si>
  <si>
    <t>Gonzalo Josef de Vi'ches</t>
  </si>
  <si>
    <t>…i los postores no ofreciesen la cuota establecida de 60© rs., se diferirá la subasta por otros ocho dias, y al fin de ellos será rematado difinitivamente el almanak. Ante el limo. Sr. D. Gonzalo Josef de Vi'ches, decano de! Consejo y Cámara de S. M., juez protector y privativo. de los santos lugares de Je;usaíen, y D. To mas de Sandra y Prado, secretario del mismo, pende expediente a instancia del procurador general por S. M. del Real patronato sobre !a pertenencia d…</t>
  </si>
  <si>
    <t>Vi, Juan</t>
  </si>
  <si>
    <t>Juan Vi</t>
  </si>
  <si>
    <t>…este buque un almacén de pólvora, cuya ex plosión ocasionó un incendio horroroso, y finalmente el verme fondear. Ar mados bote y lancha á las órdenes aquella del teniente de navio D. Juan Vi‘godet, y el bote dei de fragata D. Josef Pavía, les di las de abordar á la fragata, apoderarse de ella, sacarla fuera del tiro de la tierra, y al ultimo también las de incendiar al bergantín Neptuno. Al ver acercarse mi lancha y bote abandonaron sus cobardes…</t>
  </si>
  <si>
    <t>Viado, Francisco Alonso</t>
  </si>
  <si>
    <t>Francisco Alonso Viado</t>
  </si>
  <si>
    <t>…17. = Josef Vázquez Figueroa.=Rubricado. = Sr. Secretario del Consejo de Almirantazgo. El Rey nuestro Señor se ha servido conceder su Real permiso á D. Pros pero Amador García y á D. Francisco Alonso Viado, vecinos de la Havana, para usar de la condecoración de la flor de Lis con que los ha agraciado S. M. Cristianísima. Asimismo ha concedido S. M. igual permiso, y con el mismo objeto, á D. Antonio Perez Costas, cura párroco de Santiago de Taboadelo. Mercurio d…</t>
  </si>
  <si>
    <t>Viaña, Juan de Dios Valera y</t>
  </si>
  <si>
    <t>Juan de Dios Valera y Viaña</t>
  </si>
  <si>
    <t>…acagnini y Monzon, D. Pablo Tous y Fíol, D. Miguel Jorganes y Mario, D. Antonio Venene y Andrade, D. Julián Gata y Malpica, D. Mariano Canals y May oís, D. Juan Molins y Cabañiés, D. Juan de Dios Valera y Viaña, D. Josef Zizur y Azanza, D. Tomas Mones y Puertas, D. Miguel Zizur y Azanza, D. Joaquín Basols y Marañosa, D. Josef Amat y Desvaíls, D. Pablo Navas y Loigorri, D. Josef Navarro y Alarcon , D. Agustín Blake y Tovar, D. Josef Romero Dorado, D. Manuel Vega y Ro…</t>
  </si>
  <si>
    <t>Vicario, Manuel María</t>
  </si>
  <si>
    <t>Manuel María Vicario</t>
  </si>
  <si>
    <t>…D. Manuel Rodríguez Almeida, D. Fermín del Pedregal y D. Ra món Casal. En álgebra D. Josef Pujadas y D. Fermín Galccran. En geometría el citado Martínez , D. Josef María Loureiro, D. Manuel María Vicario , Don Cosme Arias, D. Josef Alonso, D. Benito Pereira, D. Florencio Pereira, D. Juan Francisco Rodríguez, D. Josef Vicente Veiga, D. Joseí Abad y D. Gregorio Cancela. En trigonometría plana los mismos Martínez , Lourei ro, Galceran, Vicario, Arias, Pujadas, C…</t>
  </si>
  <si>
    <t>Vicente</t>
  </si>
  <si>
    <t>…ia anualmente en ios dias desde 28 de Mayo hasta el 4 de Junio en la forma ordinaria. Por el juzgado del Sr. D. Joaquín Almazan, teniente corregidor de esta villa, y escribanía de D. Vicente de la Costa, se han formado autos á instancia de Doña Juliana Leceni, viuda de D. Vicente Gómez, y de su hijo D. Juan, reclamando 14 vales de 150 pesos, y uno de 300 de las creaciones de i.° de Setiembre de 1808, y nueve de ellos renovados en Sevilla en i.° d…</t>
  </si>
  <si>
    <t>…io Valenzuela, que ocupaba la de Ceuta, y para llenar la que tam bién resulta vacante en el reino de Aragón por jubilación de D. Josef de la Cantolla se ha servido S. M. nombrar á D. Vicente dei Campo, auditor que fue del egército del centro. Por providencia del Sr. D. Joaquín Almazan, del Consejo de S. M., teniente corregidor de esta villa, su fecha 15 del corriente, y escribanía del número de Don Antonio López de Salazar, se cita, llama y empla…</t>
  </si>
  <si>
    <t>Vicente, Antonio</t>
  </si>
  <si>
    <t>Antonio Vicente</t>
  </si>
  <si>
    <t>Los discípulos presentaron sus obras, y examinadas por los profesores se adjudicó el primer premio (que fue preciso duplicarlo) á D. Juan Men doza y D. Antonio Vicente, y el segundo, en que sucedió lo mismo, á Don Nicasio López y D. Josef Yarza, unos y otros de la sala de arquitectura: en la del modelo, por lo tocante á escultura , se confirió á D. Matías Ayardi; y en la parte de dibujo á D. Toribio Lahoz: en la de academia…</t>
  </si>
  <si>
    <t>Vicente, Domingo de S.</t>
  </si>
  <si>
    <t>Domingo de S. Vicente</t>
  </si>
  <si>
    <t>…rgas que sobre sí tenga, y libre de todo gasto judicial, toma de posesión y entrega de escritura. Por el correo de 5 de Marzo de este año se remitió desde Valencia de Alcánta ra á D. Domingo de S. Vicente, vecino de esta corte, una carta firmada por Don Josef Ventura Caña y Henriquez, laque incluia dos certificaciones de crédito de 15$ rs. cada una, dadas por la Dirección general de provisiones á favor de dicho Caña, y endosadas por este á S, Vicente, para que…</t>
  </si>
  <si>
    <t>Vicente, Eduardo</t>
  </si>
  <si>
    <t>Eduardo Vicente</t>
  </si>
  <si>
    <t>…D. Matías Ayardi; y en la parte de dibujo á D. Toribio Lahoz: en la de academias de figuras á D. Gaspar Safesa , en la de cabezas á D. Lorenzo Viscasillas, en la de prin cipios á D. Eduardo Vicente. Todos se presentaron á recibirlos de mano del vice-presidente D. Josef Sobrevia en la junta ordinaria de 6 del corrien te, quien les hizo un breve y expresivo discurso para manifestarles lo apre ciable que habían sido á la academia sus tareas, y excitarlos á…</t>
  </si>
  <si>
    <t>Vicente, Juan Sahagun</t>
  </si>
  <si>
    <t>Juan Sahagun Vicente</t>
  </si>
  <si>
    <t>…era de las nuevas poblaciones de Sierramorena: para la de Altnendralejo á D. Francisco de Paula Díaz Recio, corregidor que era dé Estepona: para la de Autol, de nueva creación, á D. Juan Sahagun Vicente: para la de S. Lorenzo de la Parrilla á D. Francisco Casimiro González de Argandoña : par2 la de Vilialpando á D. Ginés Casanova: para la de Is Ve ga de Valcarce á D. Josef Pía y Puig|: para la de Junquera de Ambia á Don Juan Francisco Bajo: para la de Estrer…</t>
  </si>
  <si>
    <t>Vicuña, Ciistóbal de</t>
  </si>
  <si>
    <t>Ciistóbal de Vicuña</t>
  </si>
  <si>
    <t>…la inserción de esta cédula en la ga ceta y diario. Por el juzgado del Sr. D. Joaquín Almazan, del Consejo de S. M., teniente corregidor de esta villa, y escribanía del número de D. Ciistóbal de Vicuña, se han reclamado por parte de D. Francisco de Arana, vecino del lugar de Onton, provincia de Santander, cinco vales Reales de 150 pesos de i.° de Enero, señala dos con los números 224606, 234340, 274491, 318097 y 338325, que dijo se le habían extraviado en s…</t>
  </si>
  <si>
    <t>Vicuña, Cristóbal de</t>
  </si>
  <si>
    <t>Cristóbal de Vicuña</t>
  </si>
  <si>
    <t>…oluntad de su dueño , y en virtud de providencia del Sr. D. Joaquín Almazan, del Consejo de S. M., teniente corregidor de esta heroica villa , dada por la escribanía del número de D. Cristóbal de Vicuña en 1 2 del corriente, se ha mandado sacar á publica subasta, por término de 30 dias, y señalado el 13 de Mayo próximo para su remate de doce á una en la audiencia de S. S., una casa sita en el lugar de Ranero, valle de Carranza, encartaciones de Vizcaya y sit…</t>
  </si>
  <si>
    <t>…omparezca, pasado que sea el citado término, Je parará el perjuicio que haya lugar. Por providencia del Sr. D. Joaquin Almazan, del Consejo de S. M.., y escriba nía propietaria de D. Cristóbal de Vicuña, se ha mandado subastar por 30 dias, contados desde 19 del pasado , tres casas en esta corte, la una en la calle de la Mag dalena, señalada con el núm. 8 de la rnanz. 9, con 2099^ pies superficiales, tasada en 26 de Enero de 1809 en 137263 rs.: otra en la cal…</t>
  </si>
  <si>
    <t>…vn. metálicos, con calidad de que hayan de deducirse de ellos todas las cargas que sobre sí tenga. Qllien quisiere m~jorarla acuda ante dicho señor juez y escribanía del número de D. Cristóbal de Vicuña. D. Joaquín .c\lmazan, teniente corregidor de esta vilIa de Madrid, en virtud de despacho requisitorio que me l1a cometido el S. D. Luis Mañes, del Consejo de S. 1\1., alcalde del crÍmen de la Real audiencia de Valencia. juez interventor regio de los estados,…</t>
  </si>
  <si>
    <t>…ei Sr. D. Joaquín Aimazan ,teniente corregidor de esta-villa, si se hiciese mejora, para lo cual el que quisiere hacerla acudirá á dicho Sr. juez, por la escribanía del núme ro de D. Cristóbal de Vicuña. Eu virtud de providencia del Sr. D. León de la Cámara Cano, del Consejo de S. M. , su ministro honorario dei Real y supremo de Hacienda, teniente corregidor, corregidor interino de esta villa, se cita á junta general que ha de celebrarse el sába do 9 de Agos…</t>
  </si>
  <si>
    <t>…e rido escribano. A virtud de providencia del Sr. D. Joaquín Almazan y Ximeno, del Consejo de S. M., teniente primero de corregidor de esta villa, dada ante el escribano de número D. Cristóbal de Vicuña, á instancia del P. Mtro. Fr. Pablo Colmenares, monge benedictino del monasterio de S. Julián de Samos, en el reino de Galicia, se cita, llama y emplaza á los tenedores é interesados en dos vales Reales de goo pesos de i.° de Setiembre, números 18258 y 19706,…</t>
  </si>
  <si>
    <t>…ital de 7 del mismo, se ha mandado por providencia del Sr. D. Joaquín Almazan, primer te niente corregidor de esta villa, dada en 22 del corriente por la escribanía del nú mero de D. Cristóbal de Vicuña, se publique por 8 dias mas, contados desde di cho dia. Quien quisiere hacer postura á la referida parte de casi acuda á dicho juz gado y citada escribanía, donde se admitirán las que se hicieren siendo arregladas; advirtiéndose que su remate está .señalado p…</t>
  </si>
  <si>
    <t>…a. A virtud de providencia del Sr. D. Joaquín Almazan y Ximeno, del Consejo de S. M. , primer teniente de corregidor de esta muy heroica villa, refrendada del escribano del número D. Cristóbal de Vicuña, se cita, llama y emplaza á Francis co, Josef, Pedro y María de Poó y Villanueva, hermanos y herederos del difunto Juan Poó Villanueva, que falleció en esta corte, y fue natural del lugar de Ardisana, concejo de Llanos, obispado de Oviedo, para que dentro de…</t>
  </si>
  <si>
    <t>Vida, Benito de Salas y</t>
  </si>
  <si>
    <t>Benito de Salas y Vida</t>
  </si>
  <si>
    <t>…ano Caballero, natural de las montañas de Santander, Don Cristóbal Rodríguez deHinojbsa, de Lebrija, y D. Antonio Rodríguez Ferrer, de Moron : en sintaxis, prosodia y arte métrica D. Benito de Salas y Vida! y D. Luis García Monge, ambos de Lebrija: en rudimentos D. Juan Fayula, D. Pedro Garfia, D. Pablo Pavón, D. Juan de Quintaniila, D. Francisco Xavier Morales, D. Rafael Muñoz, todos de Lebrija, y D. Francisco de Paula González y Peña, de Sanlucar de Barrameda…</t>
  </si>
  <si>
    <t>Vidal, Josef Leite</t>
  </si>
  <si>
    <t>Josef Leite Vidal</t>
  </si>
  <si>
    <t>…a plana mayor de blancos, agregado al cuerpo de pardos: la se gunda de la de Puerto-Rico á D. Josef Mariano Patino, subteniente gradua do de infantería: la segunda de la de Cuba á D. Josef Leite Vidal, soldado distinguido de infantería; y la capitanía de llaves de la de Santo Domingo á D. Nicolás Saiz, sargento primero del cuerpo veterano de la misma. En atención al mérito y particulares servicios de D. Vicente Sisternes y Feliú, caballero supernumerario d…</t>
  </si>
  <si>
    <t>Vidal, Luis García</t>
  </si>
  <si>
    <t>Luis García Vidal</t>
  </si>
  <si>
    <t>…contestando á cuantas preguntas se hicieron por los concurrentes á todo lo que dice relación con la gramática castellana y latina, y con la retórica y poética. Después de lo cual D. Luis García Vidal pronunció un breve pero elegante panegírico de Antonio de Lebrija, con !o que se dio fin al acto. El presbítero D. Francisco Sánchez Rico, hermano mayor de la Real, an tigua é ilustre hermandad de los Santos de esta villa, patrono de la cátedra, que presidió…</t>
  </si>
  <si>
    <t>Vidal, María Josefa</t>
  </si>
  <si>
    <t>María Josefa Vidal</t>
  </si>
  <si>
    <t>…nes á una de las huérfanas de los militares ó patriotas que hubieren muerto en defensa de la justa causa de la nación , ha cabido en suerte del primer extracto de la de este dia á Doña María Josefa Vidal, hija de D. Carlos, Capitán de infante ría de América, muerto en el campo del honor. ARTICULO DE OFICIO. JEl Rey nuestro Señor se ha servido expedir por el Ministerio general de Gracia y Justicia el Real decreto siguiente: „ Ha querido la divina Providencia q…</t>
  </si>
  <si>
    <t>Vidal, Vicenta</t>
  </si>
  <si>
    <t>Vicenta Vidal</t>
  </si>
  <si>
    <t>…Vicenta Lorente y González, Doña Magdalena Beltran , Doña Jocefa Andrés y Serra, Doña Josefa Bur gués, Doña María Dominga Aparici, Doña Carmen Sala y Corones, Doña Magdalena Prat, Doña Vicenta Vidal, Doña Vicenta Carruana, Doña Isa bel María Morera, Doña Bernarda Palomares y Doña Antonia Chaubet. D espues de esto, habiendo ocupado los premiados el lugar distinguido según costumbre, y cesado la múdea que solemnizaba este tierno acto, el socio de mérito P.…</t>
  </si>
  <si>
    <t>Vigodet, Gaspar</t>
  </si>
  <si>
    <t>Gaspar Vigodet</t>
  </si>
  <si>
    <t>…O. El Rey nuestro Señor se ha servido expedir con esta fecha el Real de creto siguiente: ,,En atención á los distinguidos méritos y servicios del teniente general de mis egércitos D. Gaspar Vigodet, he venido en conferirle la capitanía ge neral del egército y provincia de Castilla la Nueva, que ha resultado vacante por vuestra salida á ese ministerio. Lo tendréis entendido, y comunicareis las órdenes correspondientes. Señalado de la Real mano. En Palaci…</t>
  </si>
  <si>
    <t>Vigodet, Gaspar de</t>
  </si>
  <si>
    <t>Gaspar de Vigodet</t>
  </si>
  <si>
    <t>…entendido en la Cámara, y se le expedirán los despachos correspondtentes.=Rubricado de la Real mano.” Circular del Ministerio de Guerra. Los Tenientes Generales D. Manuel Freire, D. Gaspar de Vigodet y D. Sa ntiago Withinga.11 han manifestado al Rey nuestro Señor el singular mérito contraído por las valientes tropas al mando del difunto General Du que de Alburquerque en las acciones de Mora y Consuegra dadas los dias 18 y 22 de Febrero de 1809; y S. M. nunca sati…</t>
  </si>
  <si>
    <t>Vigodet, Juan</t>
  </si>
  <si>
    <t>Juan Vigodet</t>
  </si>
  <si>
    <t>…l enemigo; todos detestan á un rebelde que intenta profanar los derechos de su Soberano amado; mas los que en razón de la ordenanza les ha cabido mayor trabajo y riesgo han sido á D. Juan Vigodet y D. Josef Pavía, con las guardias-marinas, esquifacir.nes y guarniciones de lancha y bote que le acompañaba, y han sufrido mucho. ,,Espero pues que V- E., graduando la importancia de este servicio, se servirá elevarlo al Rey nuestro Señor, y que no dejará por su parte de ha…</t>
  </si>
  <si>
    <t>Viguera, Cesáreo</t>
  </si>
  <si>
    <t>Cesáreo Viguera</t>
  </si>
  <si>
    <t>…D. Mateo Rodriguez, D. Valentín Ga veta, D. Pedro Martin, D. Antonio Fernandez, D. Andrés Redondo, Don Federico Movilla, D. Bernardo Huelga, D. Esteban Blanco, D. Miguel Alonrso, D. Cesáreo Viguera, D. Miguel Chana, D. Antonio Castro, D. Toribio González, D. Santiago Alonso, D. Tomas Pardo, D. Ignacio Ojero, Don Fernando Movilla, D. Manuel Gómez, D. Francisco Rodriguez, D. Alvaro Chaves, D. Fernando García, D. Bernardino Lorenzo y D. Luis de León. El R.…</t>
  </si>
  <si>
    <t>VII, FERNANDO</t>
  </si>
  <si>
    <t>FERNANDO VII</t>
  </si>
  <si>
    <t>…el GamborlIlo. Se ha llar!1 en la llbrena de Escribano, calle de las Carretas t y en la de Campo, calle de AlcaU, á 6 rs.; igualmente se llalla compañero el de nuestro Sooerano el Sr. D. FERNANDO VII; tomando los dos re ... tratos se darán por 10 rs.: puede ir en carta. SUPI,ÉMENTO</t>
  </si>
  <si>
    <t>Viilachica, Manuel Ramón de</t>
  </si>
  <si>
    <t>Manuel Ramón de Viilachica</t>
  </si>
  <si>
    <t>205577» 2o8/42 t 112*73* D* Josef de Trasvina, D. Gregorio Sánchez, viuda de ísern é hijo, D. Pedro de Castro, Sres. Lavin y hermano, D. Manuel Ramón de Viilachica, D. Manuel Francisco Aguirre é hijos, D. Vicente Carrasco y Fominaya, Doña Clara Ambite, Juan Antonio Morera, D. Josef Sala y Cam, D. Ig nacio de Arellana, D. Francisco Bolart y Goma, D. Josef Bruquera y Castell, Don Francisco Argel é hijos, y D. Lorenzo Carb…</t>
  </si>
  <si>
    <t>Viilagutierre, Ignacio Cevallos</t>
  </si>
  <si>
    <t>Ignacio Cevallos Viilagutierre</t>
  </si>
  <si>
    <t>…por ia academia en la muerte de su director D. Andrés Fernandez Pacheco, marques de Villena, dijo el Dr. D. García de Montoya; y elogio del mismo señor director, leído por el Dr. D. Ignacio Cevallos Viilagutierre , á 2 rs._Oración fúnebre que en las exequias del Excmo Sr. duque de Alba dijo el Dr. D. Josef Vela, í 2 rs. —Relación de las exequias que celebró la academia por el alma de su director el Excmo. Sr. marques de Villena el año de 1738 , á 2 rs.—También se hall…</t>
  </si>
  <si>
    <t>Viilalba, Andrés</t>
  </si>
  <si>
    <t>Andrés Viilalba</t>
  </si>
  <si>
    <t>…y dominios ultramarinos, encargado interinamente de la repartición de los Negocios extrangeros y de La Guerra , tiene orden po sitiva del Rey su amo para anunciar cuanto antes al Sr. D. Andrés Viilalba, encargado de Negocios de S M. Católica r que habiendo cesado la urgencia por la cual S. M. se sirvió mandar diferir la salida de los buqjies extrangeros* queda desde h.oy permitida á dichos buques la salida de este puerto.. El infrascrito pone también en, no…</t>
  </si>
  <si>
    <t>Viilaseñor, Josef Cristóbal</t>
  </si>
  <si>
    <t>Josef Cristóbal Viilaseñor</t>
  </si>
  <si>
    <t>…mo. Sr.: Originales paso á las superiores manos de V. E. para su debido conocimiento dos partes que con fecha 8 del corriente me ha diri gido el capitán de dragones de Sierragorda D. Josef Cristóbal Viilaseñor, re lativos á las correrías que este oficial hizo por Sta. Ana de los Lobos, y el teniente del regimiento de Tres Villas D. DomingoRosso por las inmediacio nes de la hacienda de Charcas, habiendo logrado el primero sorprender al hermano y cuñado del cabecilla…</t>
  </si>
  <si>
    <t>Vilches, Gonzalo Josef de</t>
  </si>
  <si>
    <t>Gonzalo Josef de Vilches</t>
  </si>
  <si>
    <t>…ía, se ha dignado mandar S. M. que la corte se vista de luto durante nueve dias, que deberán empezar á contarse desde el viernes próximo 12. El expediente que pende ante el linio. Sr. D. Gonzalo Josef de Vilches, decano del Consejo y Cámara de S. M., juez protector de los Santos Luga res de Jerusalen, y por la escribanía del número de D. Tomas de Sancha y Prado, á instancia del. procurador general por S. M. de dichos Santos Luga res sobre la pertenencia de 37 vales R…</t>
  </si>
  <si>
    <t>Vilches.rrD, Gonzalo Josef de</t>
  </si>
  <si>
    <t>Gonzalo Josef de Vilches.rrD</t>
  </si>
  <si>
    <t>…crédito que á su original. Dada en palacio á 10 de Marzo de íSiy.rrYO EL REY.=YoDon Juan Ignacio de Ayesrarán, secretario del Rey nuestro Señor, la hice escribir por su mandado. = D. Gonzalo Josef de Vilches.rrD. Juan Benito Hermosilla. =Don Manuel de Torres.=D. Tadeo Gómez.= D. Benito Arias.^Registrada, Aquilino Escudero. =Teniente de canciller mayor, Aquilino Escudero. Por el ministerio de Marina se ha expedido la Real orden siguiente: Con motivo de haber dado part…</t>
  </si>
  <si>
    <t>Viliela, Ignacio Martinez de</t>
  </si>
  <si>
    <t>Ignacio Martinez de Viliela</t>
  </si>
  <si>
    <t>…ragoza por medio de una diputa ción compuesta del Excmo Sr. D. Pascual Vallejo, consejero honorario de Estado, y nombrado ministro plenipotenciario de S. M. en la Suiza, del limo. Sr. D. Ignacio Martinez de Viliela, consejero de Castilla con hono res de la cámara, y de los señores D. Nicolás María de Sierra, del propio consejo, y D. Tomas de Arias, auditor del tribunal de la Rota, y canónigo de la metropolitana de Zaragoza; de los cuales el primero dijo á S. M. en tre o…</t>
  </si>
  <si>
    <t>Viliette, Pedro Giroud de</t>
  </si>
  <si>
    <t>Pedro Giroud de Viliette</t>
  </si>
  <si>
    <t>…pitán de Reales guardias el Excmo. Sr. duque de Ala* gon , se dignó honrar con su presencia sin dar aviso alguno, y por la terce ra vez, la Real fábrica de papel pintado propia de D. Pedro Giroud de Viliette, adornista de casa y cámara. S. M. recorrió todas las oficinas con la mayor atención, examinando cada cosa muy por menor, hacienda mil pre-</t>
  </si>
  <si>
    <t>Villa, Antonio</t>
  </si>
  <si>
    <t>Antonio Villa</t>
  </si>
  <si>
    <t>…Bernardo Vara y D. Antonio Rebollo, y el subteniente D: Tomas Brigidos, todos del regimiento de la Union , el subteniente de Barbastro D. Agustín Isumarri, el teniente de Na varra D. Antonio Villa, y el de la misma clase graduado del regimiento de Burgos D. Juan 'derla Cruz' Osores.</t>
  </si>
  <si>
    <t>…o mayor de la división expedicionaria D. Agustín Otermin; el capitán D. Juan Neporrmceno Montero y el teniente D. Bernardo Vara, del regimiento de la Union: el teniente de Navarra D. Antonio Villa, y el de Burgos D. Juan de la Cruz Osores, que fueron heridos: Vara y Villa á pesar de sus heridas con tinuaron en la acción; y al teniente de cazadores de Burgos D. Manuel Martinez. El brigadier D. Josef Canterac ha manifestado á la cabeza de su columna el b…</t>
  </si>
  <si>
    <t>…para que en el término de 30 dias, contados desde la publicación del presente, que por tercero se les concede, y el último perentorio, acudan á dicho juzgado por la escribanía de D. Antonio Villa, á pedir lo que estimen, que si lo hacen se les oirá y guardará justicia, y de no, pasado dicho término, sin mas citación ni emplazamiento se sustanciarán en rebeldía los autos con arreglo á derecho, y les parará el perjuicio que haya lugar. Los suscriptores…</t>
  </si>
  <si>
    <t>Villa, Manuel González de</t>
  </si>
  <si>
    <t>Manuel González de Villa</t>
  </si>
  <si>
    <t>…concluyó la función cantando las niñas algunas canciones religiosas. Fue completa la satisfacción de todos los que concurrie ron. Costearon los premios S. E., su provisor, el Lie. D. Manuel González de Villa y D. Juan Francisco Martínez Real, prebendado de esta Sta. igle sia , director de la Real casa de misericordia de esta ciudad y de estas escue las. En fin, zeloso S. E. de la instrucción pública, exhortó con palabras afa bles y llenas de cariño, estimulando á los maestros y maes…</t>
  </si>
  <si>
    <t>Villa, Pedro</t>
  </si>
  <si>
    <t>Pedro Villa</t>
  </si>
  <si>
    <t>761 leguas por ser el mas pantanoso y otro barrancoso, hace manifieste á V.S. el acierto y puntualidad de sus órdenes al practicarlas con el teniente Don Pedro Villa y el completo de la tropa. Lo que traslado á V. S. para su satisfacción, recomendando el mérito de los que concurrieron á tan interesante servicio, particularmente al refe rido Gutiérrez, infatigable en el servicio de nuestro Soberano, y para que llegue al co…</t>
  </si>
  <si>
    <t>Villacian, Prudencia</t>
  </si>
  <si>
    <t>Prudencia Villacian</t>
  </si>
  <si>
    <t>…la de Rey Romero; en Vitoria en la de Barrio; en Oviedo en la de García Longoria; en Palencia en casa del maestro Iglesias de Bernardo, y en Santo Domingo de ia Calzada en casa de Doña Prudencia Villacian, á 6 rs. en pergami no y 8 en pasta. Discurso sobre la honra y deshonra legal, por el Dr.D. Antonio Javier Perez, impreso en iyB6, á 6 rs. en papel. Véndese en el almacén de la imprenta Real. Teófilo de Solincour, ó la virtud sacrificada, traducido por el aut…</t>
  </si>
  <si>
    <t>Villacorta, Francisco Henriquez de</t>
  </si>
  <si>
    <t>Francisco Henriquez de Villacorta</t>
  </si>
  <si>
    <t>…se crean con derecho á ser patronos de la memoria de misas que en el convento de observancia de nuestra Señora del Carmen fundó Doña Hipólita Hidalgo á nombre de su marido el Dr. D. Francisco Henriquez de Villacorta en 27 de Setiembre de 1696, para que por la audiencia de dicho señor y re ferida escribanía acudan á acreditarlo en forma; teniendo entendido que no verifi cándolo en el indicado término se sustanciarán los autos según el estado que tengan. Por providencia de…</t>
  </si>
  <si>
    <t>Villalba, Antonio</t>
  </si>
  <si>
    <t>Antonio Villalba</t>
  </si>
  <si>
    <t>…neros. Concluye el general en gefe recomendando particularmente al teniente de navio D. Andrés Tosta, al de fragata D. Francisco Bosico, á los alfére ces de navio D, Juan Sollozo, D. Antonio Villalba y D. Rafael Díaz, y á los de fragata D. Juan Calvete y D. Félix Angosto, los cuales han manifes tado conocimientos, valor y atrevimiento en la toma de los fuertes. Igual mente hace mención honorífica de los tenientes D. Jacobo Jones y D. Josef Caparros, ayudantes del brigadie…</t>
  </si>
  <si>
    <t>Villamarin, Francisco Vitini</t>
  </si>
  <si>
    <t>Francisco Vitini Villamarin</t>
  </si>
  <si>
    <t>…er vecinos de la ciudad de Córdoba, como también el de D. Juan Antonio Rulz, que este en el año de 1809 residía en la ciudad de Murcia. La persona que lo supiere dará la noticia á D. Francisco Vitini Villamarin, oficial en la principal de correos de Cádiz, quien dará á dicha persona bajo la correspon diente certeza 6S&gt; rs, vn. Los anaies de Cornelio Tácito, traducidos por D. Carlos Coloma: segunda edi ción , acompañada dei texto latino: cuatro tomos en 4.0 mayor á 1…</t>
  </si>
  <si>
    <t>Villamii, Antonio Reguera</t>
  </si>
  <si>
    <t>Antonio Reguera Villamii</t>
  </si>
  <si>
    <t>…os, el Excmo. Sr. marques de Astorga, conde de Altamira, grande de España de primera clase, gentilhombre de cá mara con egercicio , regidor perpetuo de dicha ciudad, y el teniente coronel D. Antonio Reguera Villamii, regidor perpetuo de la ciudad de la Coruña, diputado general por el reino de Galicia, en los términos siguientes: ,, Señor: El ayuntamiento de la ciudad de Betanzos, una de las que com ponen vuestro fidelísimo reino de Galicia, que siempre se ha distinguido…</t>
  </si>
  <si>
    <t>Villamíl, Antonio Reguera</t>
  </si>
  <si>
    <t>Antonio Reguera Villamíl</t>
  </si>
  <si>
    <t>…ductoras de dichas enfermeda des, señalando principalmente los medios de precaución que deberán tomarse. Madrid 20 de Octubre. ARTICULO DE OFICIO. El diputado del reino de Galicia D. Antonio Reguera Villamíl tuvo la honra de poner en las Reales manos del Rey nuestro Señor, á nombre de la ciudad y provincia de Tuy, la representación siguiente, á que venia acom pañado un testimonio de acuerdo del ayuntamiento. ,, Señor: El ayuntamiento de vuestra ciudad de Tuy ofre…</t>
  </si>
  <si>
    <t>Villamil, Cayetano Fernandez</t>
  </si>
  <si>
    <t>Cayetano Fernandez Villamil</t>
  </si>
  <si>
    <t>…os, dispuso celebrar los exámenes de los alumnos de ellas en los dias 3 y 4 del corriente mes. Dióse principio por un papel alusivo al objeto, que leyó el primer maestro direc tor D. Cayetano Fernandez Villamil. Fueron examinados en aritmética Don Felipe Martínez , D. Antonio Ramón Zarneza, D. Joaquín Clavareza, Don Manuel María Ribero, D. Manuel Diaz, D. Vicente Rey, D. Anronio de Prado, D. Manuel Rodríguez Almeida, D. Fermín del Pedregal y D. Ra món Casal. En álge…</t>
  </si>
  <si>
    <t>Villanueva, Josef</t>
  </si>
  <si>
    <t>Josef Villanueva</t>
  </si>
  <si>
    <t>…; habiéndose hecho dig nos del aplauso y de que se Ies adjudícase el premio D.Pedro Pacheco, Don Josef Iglesia , D. Josef Cala, D. Josef Adan, D. Manuel Huertas, D. Tosef Ro mero, D. Josef Villanueva, D. Francisco Capulino, D. Juan Romero, D. Vicente Brete, D. Nicolás Moreno, y entre estos muy en particular Don Josef Cotera, que entrando en esta academia á la edad de seis años sin cono cer el alfabeto, y contando al presente solos ocho, mereció en estas t…</t>
  </si>
  <si>
    <t>Villapadierna, Manuel de</t>
  </si>
  <si>
    <t>Manuel de Villapadierna</t>
  </si>
  <si>
    <t>…so de D. León de la Cámara Cano á la fiscalía del Almirantazgo , á D. Angel Fernandez de los Ríos : para el corregimiento de letras de la ciudad de Palencia, vacante por muerte de D. Manuel de Villapadierna, á D. Agustín Tosantos y Laprada, corregidor de la ciudad de Guadix: para este corregimiento á D. Honorio María de Muro, que lo era de Almonte: para el de Montiüa, vacante por muerte de D. Antonio Piernas Martínez, á D. Antonio Pimentel y Valenzue-</t>
  </si>
  <si>
    <t>Villapinto</t>
  </si>
  <si>
    <t>…de á 12, nueve de á 6, dos de á 4 y uno de á 2 te nían en batería, y fueron tomados por nosotros; de 40 á 50 hombres deja ron muertos en el campo y fortín, entre ellos el rebelde coronel Villapinto, que se decía comandante de Boquilla; 10 prisioneros fueron cogidos por la tropa; y la nota adjunta impondrá á V. S. de lo que se les ha tomado, asi como de 25 prisioneros nuestros que tenían y se rescataron. El número de enemigos sera mas de 400 hombres, cie…</t>
  </si>
  <si>
    <t>Villapinto, Josef María</t>
  </si>
  <si>
    <t>Josef María Villapinto</t>
  </si>
  <si>
    <t>…Noviembre á Boquilla de Pie dra, y el siguiente dia 24 á las dos horas y media de haber atacado á cuerpo descubierto, fue dominado el fortín con muerte de su comandante el rebelde coronel Josef María Villapinto, con las demas particularidades que se expre san en el siguiente circunstanciado parte. Habiéndome hecho V. S. el honor de confiar á mis órdenes una división de 300 hombres, 200 de ellos de infantería y 100 de caballería, para que pasase á hacer observaciones…</t>
  </si>
  <si>
    <t>Villapol, Josef Rafael</t>
  </si>
  <si>
    <t>Josef Rafael Villapol</t>
  </si>
  <si>
    <t>…do según se previno en el citado edicto de 30 de Marzo del año próximo pasado. El d ia 23 de Diciembre último tuvieron la honra de felicitar á S. M. í nombre de la villa de Vivero D. Josef Rafael Villapol, auditor de Guerra de marina de provincia y honorario de departamento, y D. Josef Marta Berinudez, alguacil mayor de millones de la misma villa, y oficial del Real cuerpo de infantería de Marina; de los cuales el primero dijo: ,,Señor: La M. N. M. L. y Realen…</t>
  </si>
  <si>
    <t>Villar, Francisco</t>
  </si>
  <si>
    <t>Francisco Villar</t>
  </si>
  <si>
    <t>…que se ha mandado celebrar junta el dia 29 de este mes á las ocho en la posada del mismo señor juez, para que respecto haberse perdido todos los libros de comercio y asientos del D. Francisco Villar, los que sean sus acreedores y los deudores se presenten con sus respectivos documentos. Se desea saber el paradero ó existencia de D. Josef Ximenez y D. Alberto Moreno, que ríígeron ser vecinos de la ciudad de Córdoba, como también el de D. Juan Antonio Rulz…</t>
  </si>
  <si>
    <t>Villar, Juan del</t>
  </si>
  <si>
    <t>Juan del Villar</t>
  </si>
  <si>
    <t>…partidas, á las cuales despreciamos, á pesar de sus fuegos, has ta que cerca de la una, habiendo cargado ya mayor número sobre el pue blo , dispuse saliesen el teniente de Zamora D. Juan del Villar y subteniente de Nueva- España D. Martin Pina con 60 hombres, los que habiendo desalo jado á los rebeldes de las casas y paredones de la colecturía , hice se me re uniesen , por haber observado que salían dos trozos á rienda suelta del ran cho de Marañon, com…</t>
  </si>
  <si>
    <t>…baluarte de S. Fer nando, objeto de mayor peligro, junto con el cadete del mismo cuerpo Don Fél ix Surbaran, que se porro y trabajó con la mayor serenidad; al tenien te del mismo D. Juan del Villar, destinado á las salidas en la torre, tam bién blanco del enemigo; al subteniente del mencionado D. Francisco Pas tor en el hospital inmediato al baluarte de S. Fernando; al alférez de Nueva--España D. Martin Piña destinado igualmente á las salidas por la en…</t>
  </si>
  <si>
    <t>Villar, Juan González</t>
  </si>
  <si>
    <t>Juan González Villar</t>
  </si>
  <si>
    <t>…to 3.0, quien le informará de ciertos intereses que le pertenecen. Refutación de varios errores reproducidos con motivo de la revolución francesa y española, compuesta por el Dr. D. Juan González Villar, colegial que fue en el mayor de S. Ildefonso, universidad de Alcalá, deán de la santa iglesia de León: un tomo en 8.° marquilla. Se hallará en Madrid en la librería de Sancha, calle de Ja Concepción Gerónima , casa de Montesacro, á 16 rs. en pasta y 12 á la…</t>
  </si>
  <si>
    <t>Villas, Eugenio</t>
  </si>
  <si>
    <t>Eugenio Villas</t>
  </si>
  <si>
    <t>…trejon, Vicente Perez , Josef María Perez , Josef María Sánchez, Miguel Salas é Isabel Costilla. „Paztcuaro Marzo 6 de 18x7. = Antonio de Linares.” TELOLOAPAN. Parte del coronel y comandante D. Eugenio Villas ana. ,, Excmo. Sr.: Paso á manos de V. E. para Jos fines que fueren de su su perior agrado el parre original que me dirige el subdelegado y comandante de armas del Real de Tasco D. Tomas Cagigal, referente á la última expe dición que con los realistas de su m…</t>
  </si>
  <si>
    <t>Villasana, Eugenio de</t>
  </si>
  <si>
    <t>Eugenio de Villasana</t>
  </si>
  <si>
    <t>…ueño mérito se eleve al conocimiento de la superioridad del Ex celentísimo Sr. virey. ^,Dios guarde á V. S. muchos años. Real de Tasco Febrero 8 de 1817. = Tomas de Cagigal. = Sr. coronel D. Eugenio de Villasana.” Parte de D. Antonio Gómez. ,,A las cinco de la mañana de este dia tuvo efecto el aviso anticipado que se me dio de que la canalla estaba disponiendo venirme á atacar á este trapiche, presentándose al intento corno 100 hombres de caballería , al man do de su…</t>
  </si>
  <si>
    <t>Villavicencio, F.</t>
  </si>
  <si>
    <t>F. Villavicencio</t>
  </si>
  <si>
    <t>…Havana, de donde salió el día 8 del próximo pasado Agosto en 54 dias de navegación, en convoy de treinta y tantos buques, es coltados por el bergantín de guerra el S. Fernando, su comandante D. F. Villavicencio hasta la altura de la Bermuda; habiendo este seguido en comi sión á Puerto-Rico y Costa-firme. Según las noticias recibidas por el refe rido bergantín mercante queda sosegado y tranquilo el vireinato de México y Costa-firme, El dia antes de su salida entró en…</t>
  </si>
  <si>
    <t>Villavicencio, Manuel</t>
  </si>
  <si>
    <t>Manuel Villavicencio</t>
  </si>
  <si>
    <t>…istingue, debiéndose á su acertado movimiento y á la rapidez con que llevó los enemigos por delante la total dispersión y fuga de ellos. Los ayudantes de campo del general en gefe coronel D. Manuel Villavicencio y teniente coronel D. León Ortega se distinguieron por su extraordina ria actividad en comunicar las órdenes, hallándose ambos desmontados. El capitán D. Josef Bedoya, ayudante del brigadier Canterac, corrió varias veces á las cabezas de las columnas animando…</t>
  </si>
  <si>
    <t>Villegas, Benito Saiz de</t>
  </si>
  <si>
    <t>Benito Saiz de Villegas</t>
  </si>
  <si>
    <t>la, alcalde mayor de Sta. Cruz de Múdela: para el de Lacena, vacante por jubilación de D. Benito Saiz de Villegas , á D. Lorenzo Ventura'de Dueñas, alcalde mayor de Alcira; y para el corregimiento político de la ciudad de Antequera, vacante por muerte de D. Juan de Dios Cevallos, al coronel de los Reales egérdtos D. Josef Alfaro. También se ha servido S. M. conceder hono…</t>
  </si>
  <si>
    <t>Villena, Antonio Jácome y</t>
  </si>
  <si>
    <t>Antonio Jácome y Villena</t>
  </si>
  <si>
    <t>…arro y Alarcon , D. Agustín Blake y Tovar, D. Josef Romero Dorado, D. Manuel Vega y Romero, D. Al varo de Navia y Osorio, D. Juan de ia Lastra y Mata, D. Dionisio Sierra y Abello, D. Antonio Jácome y Villena, D. Antonio Fernandez Pinzón, Don Antonio de los Reyes y Céspedes, D. Josef García Merlo, y á los artilleros disti nguidos D. Josef Torrecilla, D. Adriano Torrecilla y D. Josef de Puente. Se vende una casa sita en la calle de Santiago el Verde de esta poblaci…</t>
  </si>
  <si>
    <t>Villena, Juan Manuel de</t>
  </si>
  <si>
    <t>Juan Manuel de Villena</t>
  </si>
  <si>
    <t>…co como secretario actuante. Madrid 27 de Setiem bre de 1817. = El Sr. de Rubianes, secretario. El dia 8 del pasado falleció en esta corte á los 5 2 años de edad el Ex celentísimo Sr. D. Juan Manuel de Villena, teniente general de los Reales egércitos, comendador de Bastimentos de Castilla en la orden de Santiago, caballero gran cruz de la Real y militar orden de S. Fernando, y de la de S. Hermenegildo, gentilhombre de cámara de S. M. con egercicio, y su pri mer ca…</t>
  </si>
  <si>
    <t>Villota, Francisco de</t>
  </si>
  <si>
    <t>Francisco de Villota</t>
  </si>
  <si>
    <t>…icando las propiedades del poema heroico, y algunos otros; por todo lo cual merecieron una completa aprobación de los individuos de la junta y concurrentes los sugetos siguientes: D. Francisco de Villota á los 14 meses de estudio: D. Felipe de la Puente, D. Miteo Regil, D. Jorge de Urioste, D. Juan de Murrieta y D. Ildefonso de Llano á los 20 meses: D. Anto nio de Calera á los 16: D. Juan de Arredondo á los 14 ; y D. Segundo de Olavarriaá los 22 , sin contar…</t>
  </si>
  <si>
    <t>Viola, Carlos</t>
  </si>
  <si>
    <t>Carlos Viola</t>
  </si>
  <si>
    <t>2II menegildo, teniente general de los Reales egércitos,y del Consejo y Cámara de S. M. en el Real y supremo de las Indias, y D. Carlos Viola, contador principal honorario de egército, y gefe del departamento de los Reales em préstitos de la tesorería general de S. M.; de los cuales el primero dijo: „ Señor: La ciudad de Balaguer , que como todas las demas del principa do de Cataluña á que pertenec…</t>
  </si>
  <si>
    <t>Viscasillas, Lorenzo</t>
  </si>
  <si>
    <t>Lorenzo Viscasillas</t>
  </si>
  <si>
    <t>…elo, por lo tocante á escultura , se confirió á D. Matías Ayardi; y en la parte de dibujo á D. Toribio Lahoz: en la de academias de figuras á D. Gaspar Safesa , en la de cabezas á D. Lorenzo Viscasillas, en la de prin cipios á D. Eduardo Vicente. Todos se presentaron á recibirlos de mano del vice-presidente D. Josef Sobrevia en la junta ordinaria de 6 del corrien te, quien les hizo un breve y expresivo discurso para manifestarles lo apre ciable que habían si…</t>
  </si>
  <si>
    <t>Vitini, Miguel</t>
  </si>
  <si>
    <t>Miguel Vitini</t>
  </si>
  <si>
    <t>…á la cabeza de él desde que me adelanté al de vanguardia , que no puedo menos de recomendarlo á V. E., y á inis dos ayudantes de campo el teniente D. Juan Basave y el subteniente D. Miguel Vitini, ambos de Extre madura, de los cuales el primero tiene en su favor, á mas de haber distri buido mis órdenes con la mayor puntualidad, como su compañero, la reco mendación de haber acompañado al capitán D. Lorenzo Serrano en la ope—</t>
  </si>
  <si>
    <t>…, y Doit Tuan Ateaga, de realistas de Perote; de capitanes al teniente D. Juan Basave, de Extremadura, y D. Manuel Manso, de realistas de Tampieo; de te nientes á los subtenientes D. Miguel Vitini y D. Josef Quiñones, de Extre madura, y D. Nicolás Castillo, de Ordenes Militares; alférez vivo ai cadete de Extremadura D. Miguel Aguayo, y al asistente del capitán Carrizo y artillero de Perote Francisco Martin plaza de sargenta en sus respectivos cuerpos. Ademas ha dispuesto…</t>
  </si>
  <si>
    <t>Vitrian, Mannela</t>
  </si>
  <si>
    <t>Mannela Vitrian</t>
  </si>
  <si>
    <t>…ez de Castro, se cita, llama y emplaza por tercero y último término de ro dias, conta dos desde su publicación, á todos los acreedores á los bienes quedados por la fin y muerte de Doña Mannela Vitrian, vecina que fue de esta corte, y viuda de D. Va-</t>
  </si>
  <si>
    <t>Vivero</t>
  </si>
  <si>
    <t>…uieron todas las clases de la población. El valiente coronel Valle , que se hallaba arrestado algunos meses antes, se deja ver en la plaza, y reconocido segundo gefe por orden del señor Vivero, acredita como siempre su valor y pericia militar: el recomendable capitán de cazadores D. Juan Bautista Elío con grande actividad atiende á todas par tes , y distribuye oportunamente su tropa: las milicias cívicas de vecinos dis tinguidos y artesanos corren…</t>
  </si>
  <si>
    <t>Vivero, Josef Pascual de</t>
  </si>
  <si>
    <t>Josef Pascual de Vivero</t>
  </si>
  <si>
    <t>…la compañía de caladores , perdida el dia anterior toda la caballería como se ha dicho; y todo parecía anunciar una pérdida inevitable. En tal apuro el benemérito señor presidente D. Josef Pascual de Vivero no vaciló un momento; y apartando la vista de todas las reglas de la guerra no escuchó sino á su honor , con la generosa resolu-*cion de morir primero que rendirse. ,, Animadas con tal egemplo le siguieron todas las clases de la población. El valiente coronel…</t>
  </si>
  <si>
    <t>…id un parlamentario insinuando que se entregase la plaza ú discreción, pues de lo contrario pasaría á cuchillo al presidente y á cuantos la defendiesen, á lo cual contestó el gefe capitán D. Josef Pascual de Vivero que los oficiales de honor no se rendían por amenazas. El enemigo recibida esta contestación hizo inmediamente señal de ataque, y acometió con todas sus fuerzas, que eran mas de 6co hombres, y 2 caño nes de á 4, con las cuales se dirigieron alternativamente c…</t>
  </si>
  <si>
    <t>Vizcarra, Josef Antonio</t>
  </si>
  <si>
    <t>Josef Antonio Vizcarra</t>
  </si>
  <si>
    <t>…e ocho y nueve de la mañana. Dos guerrillas que destaqué al mando la una del capitán de dra gones de frontera de Colorían D. Ignacio Miranda, y la otra al del teniente de dragones D. Josef Antonio Vizcarra, sorprendieron al citado rebelde, que aunque huyó con su gavilla en sus caballos en pelo,, dejaron una carga de municiones, 31 fusiles, 2 pares de pistolas, porción de sillas, lanzas y machetes, mas de 100 caballos, 18 muertos y n prisioneros. Reunidas las gu…</t>
  </si>
  <si>
    <t>Walker</t>
  </si>
  <si>
    <t>…r general. Berar Rajah (Nagpoor) había aceptado una fuerza subsidiaria de 6 batallones y 2 regimientos de caballería de Madrás, compuestos de naturales del pais, y mandados por el coronel Walker. De esta manera se aprestan para poner fin al poder de los máratas y de los píndares. Se asegura que lord Castlereagh tuvo ayer una nueva recaída de su indis-</t>
  </si>
  <si>
    <t>Walletort</t>
  </si>
  <si>
    <t>…e Enero. CAMARA DE LOS COMUNES. Sesión del mismo dia. Habiendo vuelto la cámara al salón de sus sesiones se leyó de nuevo el discurso de S. A. R. el Príncipe Regente, y en seguida lord Walletort pro nunció un discurso, en que haciéndose cargo de todos los puntos menciona dos en el de S. A. R., propuso que se diese la acostumbrada respuesta de gracias, y fue apoyado por Mr. JDawson. Mr. Ponsomby dijo que aprobaba cuanto se decía en el discurso de S. A…</t>
  </si>
  <si>
    <t>Walmoden</t>
  </si>
  <si>
    <t>…que el general conde de Nugent, quiea se halla actualmente en Nápoles, va á dejar el servicio del Austria para pasar al del Rey de las Dos Sicilias. Se dice que le reemplazará el conde Walmoden en el mando del egército austríaco que hay en el reino de Nápoles. Las cartas particulares de Viena ,que llegan al 14 de este mes, dicen que el Príncipe Schwartzemberg se hallaba atacado de una apoplegía que hacia temer su muerte. Las mismas cartas fijan para…</t>
  </si>
  <si>
    <t>…ID DEL SABADO IX DE OCTUBRE DE 1817, TIROL. Inspruck 8 de SelÍemhre. Las c~trtas de Italia anuncian que el 20 de Agosto acabó de pasar por Roma el cuerpo de egército austriaco del general Walmoden. Durante su marcha por el estado de la iglesia aquellas tropas haH observado una excelente disciplina. El Rey de las Dos- Sicilias confirió al general Walmoden, natural de Hannóver, la gran cruz d~ Id órden de S. Fernando; al general Spiegel la cruz de comend…</t>
  </si>
  <si>
    <t>…e Gargen, enviado del Rey de los Países-Bajos cerca de la Dieta Germánica, que en el dia viaja por Italia. Ha llegado ya á Roma la retaguardia austríaca del cuerpo de egército del general Walmoden ; de suerte que han evacuado enteramente las tropas austríacas el reino de Nápoles. Las cartas de Milán aseguran que el conde de Saurau permanecerá algún tiempo en Italia antes de ir á Madrid con el carácter de embajador de Aus tria cerca de la corte de Españ…</t>
  </si>
  <si>
    <t>Wambraham</t>
  </si>
  <si>
    <t>…ablo Puig, español, de Odesa, con tri go, 30 idem. 5©. Bergantín S. Andrés, patrón Pedro Pons, español, de Alejandría, con habones , 30 idem. 31. Navio de guerra Guillaume Premier,almirante Wambraham, holan dés, de Nápoles, 15 idem. 32. Bergantín de guerra Irene, capitán Dewries, holandés, de Ñápe les, 15 idem. 33. Jabeque S. Antonio , patrón Nicolás Picaluga, español, de Marsella, con carbón de piedra , 10 idem. 34. Fragata Union, patrón Miguel Neto,, es…</t>
  </si>
  <si>
    <t>Warleta, Francisco</t>
  </si>
  <si>
    <t>Francisco Warleta</t>
  </si>
  <si>
    <t>…creedores á la mayor consideración los coroneles gradua dos D. Antonio Casano , D • Josef Barreiro y el capitán D. Melchor del Cas taño , todos del Real cuerpo de artillería, y el coronel D. Francisco Warleta, gefe del estado mayor general. Elogia muy particularmente la ccnducta de los oficiales de la Real arma da, y con especialidad la del coir.ondante de la escuadra capitán de fragata D. Josef María Chacón, el de la misma clase D. Francisco Topete, y el te nient…</t>
  </si>
  <si>
    <t>Washington</t>
  </si>
  <si>
    <t>…ia en el cuerpo de los cadetes. Después pasó á los Estados-Unidos de América, en donde permaneció hasta el fin de la guerra de la independen cia , habiendo merecido la amistad del general Washington, de quien fue compañero de armas. A consecuencia de las novedades ocurridas en su patria el año de 1792 regresó á ella, é hizo su primera campaña bajo las órdenes del Príncipe Josef Poniatowski; pero en la segunda mandó ya en gefe el mis mo Kosciusko, teniend…</t>
  </si>
  <si>
    <t>Watson</t>
  </si>
  <si>
    <t>…n embargo de esto aun en las cercanías de Milán se presentan es tos malhechores, y asaltan á los correos y viageros. SUIZA. JLausana 25 de Agosto. Ha llegado últimamente á Roma el caballero Watson, escocés, quien ha comprado al Sr Tassoni, auditor del Papa* y ¡testamentario del difunto car denal de Yorck, el archivo de la familia de los Stuardos._ Se están embar cando estos papeles para Inglaterra, cuyo Gobierno envió dos buques de guerra á Civitavechi…</t>
  </si>
  <si>
    <t>Wcllington</t>
  </si>
  <si>
    <t>…la guardia inglesa que se hallan de guarnición en Catnbray volverán pronto á Inglaterra. Varios generales de las tropas aliadas concurrirán i aquella ciudad para conferenciar con lord Wcllington cuando vuelva al cuartel general. Escriben de Rochefort lo siguiente: „Un guarda almacén de artillería de</t>
  </si>
  <si>
    <t>Weatherall</t>
  </si>
  <si>
    <t>57r como á mitad de camino entre el Cabo-NIgraís, en la costa de! Pegu y ios Audamanes. El día io pasó cerca de ella el buque llamado el Príncipe £lucher. mandado por el capitán Weatherall, y encontró algunas lanchas per tenecientes al Francés-Cariota , y tomó á bordo los náufragos que iban en ellas, quienes le participaron que el resto de los marineros y de los sol dados con varías mugeres y niños habian desembarcado en la isla. Al dia siguien…</t>
  </si>
  <si>
    <t>Weelde, Rochus Van</t>
  </si>
  <si>
    <t>Rochus Van Weelde</t>
  </si>
  <si>
    <t>…e acreditan la insolencia de los lla mados corsarios, ó mas bien piratas de Buenos-Aires, y de otras provincias insurgentes de la America española. La goleta Amistad, al mando del capitán Rochus Van Weelde, salió el 31 de Octubre de Faro para Zierickzee con un cargamento de higos y fru tas ; y en la tarde del mismo dia encontró una goleta armada con bandera turca, que la tiro un cañonazo con bala: habiéndose acercado la Amistad vino á su bordo en una lancha un…</t>
  </si>
  <si>
    <t>Weelde, Van</t>
  </si>
  <si>
    <t>Van Weelde</t>
  </si>
  <si>
    <t>…tes,y acompañada de una goletilla armada,dirigiendo su rum bo hácia el cabo ae S. Vicente. La fragata tiró también á la Amistad un cañonazo con bala, en consecuencia de lo cual el capitán Van Weelde izó la bandera holandesa, y se acercó. Habiendo respondido á las preguntas que se le hicieron en idioma ingles sobre el destino del buque, el capitán recibió orden de arriar velas, y á tiempo de ocuparse en ello, la fragata disparó una andanada, y ademas los…</t>
  </si>
  <si>
    <t>Weimar, Príncipe de Saxonia-</t>
  </si>
  <si>
    <t>Príncipe de Saxonia- Weimar</t>
  </si>
  <si>
    <t>…dia al gunas negociaciones importantes entre los dos estados. PAISES-B A J OS-U NIDOS. Brusélas 2 j de Agosto. Ayer vinieron aquí S. A. R. el Príncipe heredero de Orange, el mayor general Príncipe de Saxonia- Weimar y otros personages. Mr. Regnault de St. Jean de Angely, que llegó ayer á esta ciudad pro cedente de Ambéres, marchará esta noche á Prusia , que es el parage de su destino. Van acompañándole en su coche dos sargentos de este egército. Se espera aqui de dia en…</t>
  </si>
  <si>
    <t>Weliington</t>
  </si>
  <si>
    <t>…reo á lord Castlereagh que se hallaba en su hacienda de North-Cray, y el ministro indes vino inmediatamente á Londres , donde tuvo una larga conferencia con el duque. Se ignora si lord Weliington ha venido a Inglater~ ra á tomar órdenes del Gobierno ó á asuntos particulares. En Bristol ha habido una junta popular, de la cual no ha resultado tur bulencia alguna. La lluvia, que fue aquel dia excesiva, vino á templar el zelo del orador y el de sus oyente…</t>
  </si>
  <si>
    <t>Wellington</t>
  </si>
  <si>
    <t>…osa, pasando de 500 personas, entre las cuales se ha llaban el Príncipe Talleirand y el ministro de la Guerra., El duque de Orleans partirá pasado mañana á Londres. Se asegura que lord Wellington saldrá de aqui dentro de algunos dias para Maubeuge , á fin de recibir á S. A. I. el Príncipe Nicolás. Escriben del Havra que hace tres dias se hallan reunidos en aquel puerto mas de 100 buques destinados para diversos puntos del mundo , y darán sucesivamente…</t>
  </si>
  <si>
    <t>…e esta facultad. La persona que lo supiese lo avisará en esta corte á D. Francisco García Treviüa, del comercio de lienzos, que vive calle de Postas. Estampa alegórica dedicada al lord Wellington por el Excmo. Sr. arzobispo de Santiago: en esta estampa, que por justos motivos no se ha publicado antes á pesar de haberse empezado en 180.8, se ven simbolizados los acaecimientos mas-parti culares que han ocurrido en España desde aquella época hasta el dia…</t>
  </si>
  <si>
    <t>Werklein</t>
  </si>
  <si>
    <t>…los establecimientos públicos, y á las aoreciables calidades que distinguen á todas las clases de esta benemérita población. Lúea 22 de Noviembre de 1817. = £7 caballero teniente coronel Werklein. Circular de la Dirección general de Rentas. Por el Ministerio de Hacienda se ha comunicado á esta Dirección, con fe cha de 29 de Noviembre último , la Real orden que sigue: - ,,Habiendo dado cuenta al Rey del expediente promovido por los apo derados ó admini…</t>
  </si>
  <si>
    <t>Whitworth</t>
  </si>
  <si>
    <t>…e de distinción; por fortuna no han penetrado aun en esta ciudad las referidas calenturas. GRAN BRETAÑA. Londres 12 de Mayo. El conde Talbot debe reemplazar en el verano próximo á lord Whitworth en el gobierno de Irlanda, para lo que está haciendo ya sus prepa rativos. Se asegura que lord Exmouth debe marchar muy pronto á reemplazar al almirante Duckworth en el mando del apostadero de Terranova. Un mercader de paños llamado Mittchel acaba de ser arre…</t>
  </si>
  <si>
    <t>Wille, Francisco</t>
  </si>
  <si>
    <t>Francisco Wille</t>
  </si>
  <si>
    <t>…por sí y á nombre del Soberano, en proporción del derecho que respectivamen te han adquirido á ella. Me complace especialmente en distinguir y patroci nar al primer agente y socio D. Francisco Wille; á los generosos habitado res principales D. Pedro Abadía y D. Josef Arismendi; á los compartes y apoderados de estos D. Luis de Landavere y D. Tomas Gallegos; y final mente al maestro Bul y todos los demas concurrentes á la grande obra que V. S. me apunta co…</t>
  </si>
  <si>
    <t>Williams</t>
  </si>
  <si>
    <t>1198</t>
  </si>
  <si>
    <t>…por este medio tendrán un nuevo diccionario mesogótico, y verán restableci da en gran parte la lengua madre de los idiomas septentrionales. GRAN BRETAÑA. Londres i§ de Octubre. El capitán Williams, recien venido de la Martinica, refiere el suceso si guiente, que le contó el capitán de un buque francés, y le confirmaron va tios pasageros, cuyo avisó puede ser muy útil á los navegantes, y es como sigue: „E1 4 de Julio el buque francés el St. Esprit, que…</t>
  </si>
  <si>
    <t>Wimrner</t>
  </si>
  <si>
    <t>…á su so licitud en los contratos y plenos poderes ilimitados, Armados por el Archi duque Carlos, entonces feld-mariscal general: asi es que S. A. I. sostiene las reclamaciones del barón Wimrner, y no se duda aquí de su buen éxito. ITALIA. Poma 79 de Diciembre. Se asegura que se han convertido á la fe católica el Príncipe de SaxoniaGotha, que reside aqui hace algunos años, y la Princesa Dietrichtenstein, hija del difunto conde Schouwalow. Ancana 20 d…</t>
  </si>
  <si>
    <t>Withingan, Santiago</t>
  </si>
  <si>
    <t>Santiago Withingan</t>
  </si>
  <si>
    <t>…eridad de las augustas casas de Borbon y Braganza; y tanto S. M. como S. A. manifestaron quedar com placidos. ______ _ ARTICULO DE OFICIO. Los tenientes generales D.Manuel Freire, D. Santiago Withingan y Don</t>
  </si>
  <si>
    <t>Wohlfahrt</t>
  </si>
  <si>
    <t>…te sus casas. Mr. Aderschoeld, doctor sueco, fue enviado á Berlín por orden de su Gobierno para asistir en aquella ciudad á los experimentos que hace sobre el magnetismo animal el profesor Wohlfahrt, discípulo de Mesmer. El médico sueco ha vuelto ya á su patria, y se ha formado una junta compuesta de fí sicos de la Academia de las ciencias y de los médicos mas distinguí Jos, para examinar el resultado de los experimentos que se han hecho sobre el magne t…</t>
  </si>
  <si>
    <t>Woorstenden, Spaen de</t>
  </si>
  <si>
    <t>Spaen de Woorstenden</t>
  </si>
  <si>
    <t>…vecino. Idem 4 de Junio. Los ministros extrangeros acreditados cerca de nuestra corte continúan saliendo de esta capital. El conde Schulenbourg, ministro del Rey de Saxonia, y el barón Spaen de Woorstenden, ministro del Rey de los Países-Ba jos , partieron hace algunos dias , el primero para Dresde, y el segundo para Bruselas. Idem La función dada por el embajador de Portugal ha sido sumamente es pléndida, y su coste ha pasado de un millón de florines. La famil…</t>
  </si>
  <si>
    <t>Woronsoff</t>
  </si>
  <si>
    <t>…ado un aviso, reducido á que se tomarán providencias severas de vigi lancia con los ciudadanos americanos que desembarquen en el Brasil. El día i.° del corriente partió de aqui el general Woronsoff, comandan te en gefe de las tropas rusas en Francia, para ir á su cuartel general de Maubeuge. ESPAÑA. México 6 de Marzo. Continuación de los partes de Nueva-España. El coronel D. Benito Armiñan ha dirigido al Excmo. Sr. virey los partes siguientes: i.° Tengo…</t>
  </si>
  <si>
    <t>Wrbna, Eugenio de</t>
  </si>
  <si>
    <t>Eugenio de Wrbna</t>
  </si>
  <si>
    <t>…nia asistieron de gala SS. MM. y toda k corte. Después de las siete y media hizo salva un batallón formado para el efecto anunciando el fin de la ceremonia, y en la misma noche el conde Eugenio de Wrbna partió para Rio-Janeiro á llevar la noticia del matrimo nio. Anteayer el marques de Marialva recibió de S. M. la gran cruz de la orden Real de S. Esteban, que es la primera condecoración de esta monar quía , y ayer se presentó S. E. con ella. Las fiestas del…</t>
  </si>
  <si>
    <t>Wurtemberg, Fernando de</t>
  </si>
  <si>
    <t>Fernando de Wurtemberg</t>
  </si>
  <si>
    <t>…n declarado que tiene mal de hígado complica do con otras enfermedades. Estos dias pasados salió en coche á dar un paseo; pero no puede servirse del pie derecho. Se asegura que el duque Fernando de Wurtemberg, que acaba de casafse con h princesa Cunegunda de Metternich, será nombrado virey del reino Lombardo-Véneto, dignidad que el Archiduque Antonio debe haber renun ciado definitivamente. Parece que el virey residirá en Verona, á fin de estar en el centro del rei…</t>
  </si>
  <si>
    <t>X, Benito</t>
  </si>
  <si>
    <t>Benito X</t>
  </si>
  <si>
    <t>…ca y di en pasta: el 10. las tablas de los logaritmos de los núme ros naturales y las trigonométricas, á 20 rs. en papel, 23 en rústica y 28 en pasta. Principios de matemáticas de D. Benito X5niis: tres tomos en 4.®! 26 rs. en papel, «o en pergamino y 34 en pasta cada uno. zz: Diccionario de arquitectura civil, por ei mismo Bails, un tomo en 4.0 inarquilla, á 7 rs. en papel, 8 en rústica y 13 en pasta: contiene la explicación de mas de 1900 términ…</t>
  </si>
  <si>
    <t>X, Francisco</t>
  </si>
  <si>
    <t>Francisco X</t>
  </si>
  <si>
    <t>…ía. Anunciados al público estos egerctciosyy distribuidos los impre sos comprensivos de las materias en que debiañ ege tena irse, que;Se publica ron bajo los auspicios del Excino. Sr. D. Francisco X ;vier de Castaños, coa-</t>
  </si>
  <si>
    <t>Xa, Francisco</t>
  </si>
  <si>
    <t>Francisco Xa</t>
  </si>
  <si>
    <t>…pensionado por S. M. = El mas arrogante esfuerzo de la milicia española: comedia en cinco actos de D. A. F. y D.: un to mo en 8.°~El Heredero: comedia en prosa en tres actos, por D. Francisco Xa vier de Burgos: un tomo en 8.° Estas obras se hallarán en la librería de Dávila, calle de las Carretas. Poesías del Dr. D. Angel Casimiro Govantes, divididas en dos partes. La pri mera contiene varias odas á los acontecimientos pasados de nuestra independenci…</t>
  </si>
  <si>
    <t>Xaredan, Antonio</t>
  </si>
  <si>
    <t>Antonio Xaredan</t>
  </si>
  <si>
    <t>…hará el nom bramiento. r •••*•• Tratado de enfermedades cutáneas,por Josef Jacobo Plenk , aumentada con no tas en esta segundan edición un 'tomo en. 8.° marquida , traducido, por D. Antonio Xaredan. ^Prontuario dé medicina práctica ó clínica, por Josef Quarin, dividido en tres partesnla,primerá.,trata.de.'Calentu.ras en común: la segunda de inflamaciones, y la tercera de varias enfermedades: traducido al castellano por D. Antonio Lavedan*, segunda edici…</t>
  </si>
  <si>
    <t>Xfmeno, Joaquín Almazan y</t>
  </si>
  <si>
    <t>Joaquín Almazan y Xfmeno</t>
  </si>
  <si>
    <t>…irles en el término de un mes, contado desde ia pu blicación de este aviso; con apercibimiento que de no hacerlo so dará á los autos el curso qu;e corresponda. Por providencia del Sr. D. Joaquín Almazan y Xfmeno, del Consejo de S. M,, teniente corregidor de esta muy heroica villa, refrendada de D. Pascual Seco, es cribano Real y del número de ella, se ha sacado á pública subasta por término de 30 dias, y precio de 125© rs., una casa sita en la calle de Toledo, señala…</t>
  </si>
  <si>
    <t>Ximenez</t>
  </si>
  <si>
    <t>…levaba robados. „ El 29 llegué á este cuartel sin mas novedad que la de habérseme decla rado una fiebre maligna, que me había privado de dar á V. el presente. „El capitán Alvarez, teniente Ximenez y 11 de los 20 prisioneros que dan pasados por las armas en los respectivos lugares donde cometieron sus asesinatos. Las mugeres de los rebeldes quedan distribuidas en varias casas honradas en depósito, y cuando convenga las remitiré á los lugares de sus domi…</t>
  </si>
  <si>
    <t>Ximenez, Ambrosio</t>
  </si>
  <si>
    <t>Ambrosio Ximenez</t>
  </si>
  <si>
    <t>…cia que despacha el Sr. D. Josef García de la Torre, del Consejo de S. M., alcalde en su Real Casa y Corte, y escribanía de D. Carlos Rodríguez de Moya, se ha acudido por parte de D. Ambrosio Ximenez, vecino y</t>
  </si>
  <si>
    <t>Ximenez, Francisco</t>
  </si>
  <si>
    <t>Francisco Ximenez</t>
  </si>
  <si>
    <t>…cretarlo del despacho de Marina desde la Guaira el comandante de Marina del apos tadero de Puerto-Cabello que por noticias oficiales se sabia que las tropas españolas al mando del coronel D. Francisco Ximenez habían tomado pose sión de Guiría y todos sus fuertes con pérdida de 300 insurgentes, á quienes</t>
  </si>
  <si>
    <t>Ximenez, Josef</t>
  </si>
  <si>
    <t>Josef Ximenez</t>
  </si>
  <si>
    <t>…de comercio y asientos del D. Francisco Villar, los que sean sus acreedores y los deudores se presenten con sus respectivos documentos. Se desea saber el paradero ó existencia de D. Josef Ximenez y D. Alberto Moreno, que ríígeron ser vecinos de la ciudad de Córdoba, como también el de D. Juan Antonio Rulz, que este en el año de 1809 residía en la ciudad de Murcia. La persona que lo supiere dará la noticia á D. Francisco Vitini Villamarin, oficial en la principal de corre…</t>
  </si>
  <si>
    <t>Ximenez, Juan Ramón</t>
  </si>
  <si>
    <t>Juan Ramón Ximenez</t>
  </si>
  <si>
    <t>…bre de cada ano por la misma ciudad. El vecindario de esta es 700 y mas vecinos. Los que qui sieren pretenderla podrán verificarlo por memoriales, dirigiéndolos por el conducto de D. Juan Ramón Ximenez , secretario de ella, que serán admitidos hasta el último dia de Febrero próximo. Se desea saber el paradero de D. Ramón Puig, que fue hecho prisionero de guerra el d.a 7 de Febrero de 1812 en el Rebollar de Siguen», y trasladado con los demas heridos al hosp…</t>
  </si>
  <si>
    <t>Ximenez, Manuel</t>
  </si>
  <si>
    <t>Manuel Ximenez</t>
  </si>
  <si>
    <t>…ínez, sobrino y compañía 600: Felipe de Burgos 10: Manuel Aguilar 10: Ma nuel Abad ió: Antonio Martin Bervemejo 100: Andrés de Sierra 10: Juan de Sierra 10: D. Juan Labordeta 100: D. Manuel Ximenez 300: Juan de la Vega 12 : Miguel Muñoz 60: Doña Francisca Carrasco 50: Salvador Cas co 10: Diego de Castro 12: D. Rafael Caballero 40: D. Salvadar Carruana 100: D. Antonio Fernandez 200: Francisco García Ruiz 60.__ To ta! 6061. Debiendo subastarse los suminis…</t>
  </si>
  <si>
    <t>Ximenez, Manuel Vicente Martínez y</t>
  </si>
  <si>
    <t>Manuel Vicente Martínez y Ximenez</t>
  </si>
  <si>
    <t>…letras humanas, doctrina cristiana, his toria sagrada y de España, de calografía, gramática castellana y ortografía, bajo los auspicios del limo, y Rmo. Sr. arzobispo de Zaragoza D. Manuel Vicente Martínez y Ximenez, dignísimo patrono de las mismas escuelas. El concurso de toda clase de personas que habían sido convidadas por impresos fue crecido y lucidísimo, habiéndole dado nuevo realce la presencia del limo, prelado que se dignó presidir, y la del Excmo. Sr. marques d…</t>
  </si>
  <si>
    <t>Ximenez, Nicolás</t>
  </si>
  <si>
    <t>Nicolás Ximenez</t>
  </si>
  <si>
    <t>…tonio de Linares. = Excmo. Sr. virey D. Juan Ruiz de Apodaca.” „Con los 50 dragones de Moneada que V. se sirvió remitirme al man do del capitán D. Luis de Cortazar, la partida del teniente D. Nicolás Ximenez, del mismo cuerpo, y 12 de estos realistas, salí el 28 de Octubre ul timo á recorrer los pueblos y haciendas del rumbo de Puroahua y Xerécuaro con el objeto de imponer las contribuciones que proporcionalmente deben sa tisfacer cada mes para esta compañía de u…</t>
  </si>
  <si>
    <t>Ximenez, Ramón</t>
  </si>
  <si>
    <t>Ramón Ximenez</t>
  </si>
  <si>
    <t>272 Asimismo se ha dignado ehREY nuestro Señor conceder igual permiso á D. Ramón Ximenez para poder usar de la misma insignia con que también le ha condecorado S. M. Cristianísima. Continúa la venta de las fincas que se publicaron en la gaceta anterior. — En la villa de Alarcon varios retamares en los sitios que llaman de Valle Isidro, camino de…</t>
  </si>
  <si>
    <t>Ximenez, Ramón García</t>
  </si>
  <si>
    <t>Ramón García Ximenez</t>
  </si>
  <si>
    <t>…corresponda en justicia. En virtud de providencia del Sr. D. Joaquín Almazan y Ximeno, del Consejo de S. M., teniente de corregidor de esta heroica villa de Madrid, refrendada de D. Ramón García Ximenez, escribano del número de la misma, se manda citar y emplazar por tercera vez, seguti se hizo por la gaceta y diarios de 7, 10 de Enero y 21 de Febrero de 1815 , á todos los interesados que tengan derecho á los bienes que ha dejado Diego Gómez de Clemente , ve…</t>
  </si>
  <si>
    <t>…esprendimiento. En virtud de providencia del Sr. D. Joaquín Almazan y Ximeno, del Consejo de S. M., teniente corregidor de esta villa, dada por la escribanía que está al cargo del Sr. D. Ramón García Ximenez, se ha mandado anunciar al público la venta de dos oficios de receptor del número de los Reales Consejos, á los que se halla aneja</t>
  </si>
  <si>
    <t>…postura á ella acuda por el juzgado que despacha el Sr. D. Joaquín Almazan y Ximeno, del Consejo de S. M., y teniente corregidor de esta villa, y escribanía que está al cargo del Sr. D. Ramón García Ximenez, al término de 30 dias, con tados desde el dia 5 del corriente mes, que serán admitidas siendo arregladas. Hallándose pendientes en el juzgado de esta capitanía general de Castilla la Nue va los autos de cesión de Ja tercera parte del sueldo del Excmo. Sr. vi…</t>
  </si>
  <si>
    <t>1044 En virtud de providencia del Sr. D. Joaquín Almazan, teniente primero de corregidor de esta villa, dada por la escribanía que está al cargo del Sr. D. Ramón García Ximenez, se cita y emplaza á todos los acreedores que puedan tener dere cho á los bienes quedados por muerte de D, Pedro Alvarez de Toledo, para que al término preciso y perentorio de 20 dias, que por primero, segundo y tercero se les concede, acudan ante dicho señor…</t>
  </si>
  <si>
    <t>…rovidenci’3 del Sr. D. Joaquín Almazan y Ximeno, del Consejo de S. M., teniente primero de corregidor de esta heroica villa de Madrid, dada por la escribanía que está al cargo del Sr. D. Ramón García Ximenez, se ha man dado sacar á pública subasta una casa sita en esta corte y su calle de las Beatas, señalada con los números 6 y 7 de la manzana 499, que comprende 1152 pies su perficiales de sitio, valuada en 54998 rs. de vn., de cuya cantidad se han de de ducir l…</t>
  </si>
  <si>
    <t>Ximeno, Joaquín Almazan y</t>
  </si>
  <si>
    <t>Joaquín Almazan y Ximeno</t>
  </si>
  <si>
    <t>…do á deducir sus excepciones en el preciso término de 15 dias, que desde luego se les señalan; bajo apercibimiento que de 110 hacerlo les parará todo perjuicio. Por el juzgado del Sr. D. Joaquín Almazan y Ximeno, del Consejo de S. M., teniente corregidor de esta villa, se cita, llama y emplaza á todos los acreedores á los bienes quedados por muerte de Doña Benita María Bustio, para que dentro del término de 30 dias comparezcan ante dicho señor juez, y por la escriban…</t>
  </si>
  <si>
    <t>…os que de no hacerlo Ies parará el perjuicio que haya lugar, y declarará extinguido el derecho de patronato, con lo demas que corresponda en justicia. En virtud de providencia del Sr. D. Joaquín Almazan y Ximeno, del Consejo de S. M., teniente de corregidor de esta heroica villa de Madrid, refrendada de D. Ramón García Ximenez, escribano del número de la misma, se manda citar y emplazar por tercera vez, seguti se hizo por la gaceta y diarios de 7, 10 de Enero y 21 de…</t>
  </si>
  <si>
    <t>…sus sueldos vencidos hasta fin de Mar zo último; y S. M. se ha servido admitirla, y quiere que se publique en la gaceta este rasgo de desprendimiento. En virtud de providencia del Sr. D. Joaquín Almazan y Ximeno, del Consejo de S. M., teniente corregidor de esta villa, dada por la escribanía que está al cargo del Sr. D. Ramón García Ximenez, se ha mandado anunciar al público la venta de dos oficios de receptor del número de los Reales Consejos, á los que se halla ane…</t>
  </si>
  <si>
    <t>…manz. 345 , cuyo sitio comprende en si 5462&lt;| pies de otro superficiales , valuada en 130415 rs. La persona que quisiere hacer postura á ella acuda por el juzgado que despacha el Sr. D. Joaquín Almazan y Ximeno, del Consejo de S. M., y teniente corregidor de esta villa, y escribanía que está al cargo del Sr. D. Ramón García Ximenez, al término de 30 dias, con tados desde el dia 5 del corriente mes, que serán admitidas siendo arregladas. Hallándose pendientes en el j…</t>
  </si>
  <si>
    <t>…á, frente al gabinete de Historia natural, en donde se dará un impreso gratis para el uso del medicamento, y por este medio no podrá equivocarse con los demás. Por providencia del Sr. D. Joaquín Almazan y Ximeno, del Consejo de S. M., teniente corregidor de esta muy heroica villa, refrendada de D. Pascual Seco, es cribano Real y del número de la misma, se ha señalado para el remate de una casa sita en la calle de S. Vicente alta, núm. p, manz. 453, el dia 14 del corr…</t>
  </si>
  <si>
    <t>…injusta persecución. Con su muerte ha per dido el Rey un fiel vasallo, la patria un noble y esforzado defensor, y su familia un modelo de virtudes domésticas. Por providencia del Sr. D. Joaquín Almazan y Ximeno , del Consejo de S. M., teniente corregidor de esta muy heroica villa, refrendada de D. Pascual Seco, es cribano del m'i¡r.ero de la misma, se ha señalado para el remate de una casa sita en</t>
  </si>
  <si>
    <t>…nas á las puertas de la audiencia del Sr. D. Joaquín Almazan, del Consejo de S. M., teniente corregidor de esta villa, por ante el refe rido escribano. A virtud de providencia del Sr. D. Joaquín Almazan y Ximeno, del Consejo de S. M., teniente primero de corregidor de esta villa, dada ante el escribano de número D. Cristóbal de Vicuña, á instancia del P. Mtro. Fr. Pablo Colmenares, monge benedictino del monasterio de S. Julián de Samos, en el reino de Galicia, se cit…</t>
  </si>
  <si>
    <t>…tos que en él se comprenden, con la respectiva numeración de sus dias para hallarlos con facilidad siempre que se duda el mes y dia á que pertenecen. En virtud de providenci’3 del Sr. D. Joaquín Almazan y Ximeno, del Consejo de S. M., teniente primero de corregidor de esta heroica villa de Madrid, dada por la escribanía que está al cargo del Sr. D. Ramón García Ximenez, se ha man dado sacar á pública subasta una casa sita en esta corte y su calle de las Beatas, señal…</t>
  </si>
  <si>
    <t>…Antonio López de Saiazar; con apercibimiento que pasado sin haberlo hecho les parará el perjuicio que haya lugar, y se procederá á lo que corresponda. A virtud de providencia del Sr. D. Joaquín Almazan y Ximeno, del Consejo de S. M. , primer teniente de corregidor de esta muy heroica villa, refrendada del escribano del número D. Cristóbal de Vicuña, se cita, llama y emplaza á Francis co, Josef, Pedro y María de Poó y Villanueva, hermanos y herederos del difunto Juan…</t>
  </si>
  <si>
    <t>…el despacho de la imprenta Real. Se suscribe en dicho despacho, y en las provincias en todas las ad ministraciones principales y agregadas de correos. En virtud de providencia del Sr. D. Joaquín Almazan y Ximeno , del Consejo de S. M., teniente primero de corregidor de esta muy heroica villa , y por la es cribanía de número de D. Pascual Seco, se ha mandado sacar á pública subasta por término de go dias un pajar sito en el lugar de Fuencarral, jurisdicción de la mism…</t>
  </si>
  <si>
    <t>Ximeno, Joaquin de Almazan y</t>
  </si>
  <si>
    <t>Joaquin de Almazan y Ximeno</t>
  </si>
  <si>
    <t>…Ministerio de mi cargo según el modelo número 6.° de aquella misma. Lo comunico á V. de Real orden para su noticia y cumplimiento. Madrid 11 de Agosto de 1817. Por providencia del Sr. D. Joaquin de Almazan y Ximeno , del Consejo de S. j\L, teniente corregidor de esta muy heroica villa, y por la escribanía del número de la misma de! cargo de D. Pascual Seco, se ha mandado sacar á pública subasta por tér mino de 30 dias una casa sita en esta población y su calle de S. Vic…</t>
  </si>
  <si>
    <t>Ximeno, Joaquín de Almazan y</t>
  </si>
  <si>
    <t>Joaquín de Almazan y Ximeno</t>
  </si>
  <si>
    <t>1224 Por providencia del Sr. D. Joaquín de Almazan y Ximeno, del Consejó de S. M;, teniente corregidor de esta muy heroica villa, refrendada de D. Pascual Seco, es cribano del número de la misma, se ha señalado para el segundo remate de una casa sita en la calle de Toledo de esta corte, núin» í i, manz. 144, el dia 26…</t>
  </si>
  <si>
    <t>Ximeno, Joaquín de Almazatt y</t>
  </si>
  <si>
    <t>Joaquín de Almazatt y Ximeno</t>
  </si>
  <si>
    <t>…quisiere hacer postura acuda ante dicho señor juez por la es cribanía del número de D. Antonio López de Salazar, que se admitirán siendo ar regladas. En virtud de providencia del Sr. D. Joaquín de Almazatt y Ximeno, del Con sejo de S. M., teniente de corregidor de esta heroica villa de Madrid, su tierra y Jurisdicción, se han mandado sacar á pública subasta por término de 30 dias varías fincas sitas en la villa de Pinto y su término, pertenecientes á las testamentarías…</t>
  </si>
  <si>
    <t>Ximeno, María Antonia</t>
  </si>
  <si>
    <t>María Antonia Ximeno</t>
  </si>
  <si>
    <t>…ones á una de las huérfanas de los militares 6 patriotas que hubieren muerto en defensa de la justa causa de la nación, ha cabido en suerte del primer extracto de la de este día á Doña María Antonia Ximeno, hija del capitán D. Antonio, muer to en el campo del honor. ARTICULO DE OFICIO. En el decreto de mano del Rey nuestro Señor, que se anunció eo la ga ceta del martes 23 del corriente, por el que se manda que ninguno de los empleados de la Real casa cobre prop…</t>
  </si>
  <si>
    <t>Ximeno, Nicolás</t>
  </si>
  <si>
    <t>Nicolás Ximeno</t>
  </si>
  <si>
    <t>…l mis mo tribunal. También se ha dignado S. M. conceder la tenencia de Rey de la plaza de la Havana al brigadier D, Diego Uiloa y Vargas; y la ayudantía de la dtl Callao de Lima á D. Nicolás Ximeno, teniente del regimiento de infan tería del Infante D. Carlos, antes Real de Lima. Por Real cédula de 12 del corriente se ha dignado S. M., á consulta del supremo Consejo de las Indias, confirmar al ayuntamiento de la capital de Goaremaia el tratamiento de Ex…</t>
  </si>
  <si>
    <t>Xirnenez, Francisco</t>
  </si>
  <si>
    <t>Francisco Xirnenez</t>
  </si>
  <si>
    <t>…cabeza de^ su compañía de granaderos el comandante acci dental de. Granada capitán graduado de teniente coronel D. Agustín Nogue ras, y de la de cazadores de Clarines el teniente coronel D. Francisco Xirnenez, los que siguieron á la.brecha, y entraron al frente de ellas con el va lor y decisión que el resto de la bizarrísima columna: no siendo posible re comendar a V. E. particularmente á ningún individuo del egército sin poner en peligro la justicia por la unidad…</t>
  </si>
  <si>
    <t>Xirneno, Joaquín de Almazan y</t>
  </si>
  <si>
    <t>Joaquín de Almazan y Xirneno</t>
  </si>
  <si>
    <t>…la llamada de Velasco, que sirve de tahona, con 16269 P'es de sitio, tasada en 61388 rs. Quien quisiere hacer postura á todas las referidas fincas, ó parte de ellas, acuda ante el Sr. D. Joaquín de Almazan y Xirneno, del Consejo de S. M., teniente corregidor de esta misma villa, por la escribanía numeraria de D. Martin Santin y Vázquez; en el concepto de que no se admitirá ninguna que no sea á dinero metálico, ó deje de cubrir el importe de la tasación. A voluntad de su…</t>
  </si>
  <si>
    <t>Yale</t>
  </si>
  <si>
    <t>…ice que en la almoneda de sus efectos se vendió el anillo y le compró el Príncipe Regente. Carlos 11, que le heredó de su padre, le empeñó en Holanda por 300 libras esterlinas. El gobernador Yale le compró, y pasó á la familia del duque de Argile, y después á la de Mr. Bláchfoid.</t>
  </si>
  <si>
    <t>Yanguas, Josef Martínez y</t>
  </si>
  <si>
    <t>Josef Martínez y Yanguas</t>
  </si>
  <si>
    <t>…nérgico discur^ so, en el cual manifestó los conatos y desvelos del cuerpo por proporcionar esta enseñanza; y habiéndose presentado en seguida los discípulos D. Policarpo Aragón , D. Josef Martínez y Yanguas, D. Domingo de Arribas y Cáceres, D. Antonio López de Córdoba, D. Ignacio Clemente, D. Josef Eu genio de Sobrado y D. Manuel María de Sobrado, y sorteándose entre ellos el orden con que debían ser examinados, explicaron la teoría del arte con ar reglo al impr…</t>
  </si>
  <si>
    <t>Yarto, Manuel</t>
  </si>
  <si>
    <t>Manuel Yarto</t>
  </si>
  <si>
    <t>…Astorga, D. Fernando Medina, administrador de Rentas de Llerena; D. Santiago Jonatna, cónsul de S. M. en Amsterdam; D. Tadeo Jaudenes, decano del tribunal de cuentas de la Havana; D. Manuel Yarto, comisario ordenador honorario; D Juan Vallejo, dignidad de la catedral de Tarazona, y director de aquel hospicio; marques de Casasola, vecino de Anrequera, D. Josef Salome García Iuente, canónigo de la catedral de Segovia, y director del Real hospicio de est…</t>
  </si>
  <si>
    <t>Yemaloff</t>
  </si>
  <si>
    <t>…e asistí© al baile que le tenia preparado la nobleza. S; A. I. el gran duque Miguel llegó el 7 á Casan, y el 9 salió para Simbirsk. Idem 8 de Octubre. Se han recibido noticias del general Yemaloff, que pasó á Persia en cali dad de embajador de Rusia. Parece que ha sido tratado con la mayor distin ción por aquel Monarca, quien había mandado preparar tiros de caballos Mancos de sus caballerizas para uso del embajador. Este, ademas del objeto general rela…</t>
  </si>
  <si>
    <t>Yermaloff</t>
  </si>
  <si>
    <t>…cia de algunos distritos del Asia menor, á que ambas creen tener derecho. Se ha sabido con mucha satisfacción en Rusia el favorable recibimiento que ha hecho la corte de Persia al general Yermaloff, embajador extraordina rio de la corte de Petersburgo. Esta embajada es de la mayor importancia, y estrechará los vinculos.de amistad que unen á estas dos potencias. Se ase gura que Mr. de Yermaloff ha enviado desde Teherán algunos oficiales rusos muy intelig…</t>
  </si>
  <si>
    <t>Yermoloff</t>
  </si>
  <si>
    <t>…] ry$f GACETA DE MADRID DEL MARTES tj DE DICIEMBRE DE 18x7. TURQUIA. Constantimpla 4 d¿Noviembre. . SegiJn las últimas noticias qíie se han recibido de las fronteras de Persta, el general Yermoloff, embajador de Rusia, salid de Teherán con dirección á Tauris, donde debe entrar en negociación con el Príncipe Abas-Mirza, hi jo del Scha, sobre diversos puntos que faltan que arreglar entre los dos impe rios. La disposición mutua de los dos Gobiernos es pací…</t>
  </si>
  <si>
    <t>Yévenes, Alfonso de</t>
  </si>
  <si>
    <t>Alfonso de Yévenes</t>
  </si>
  <si>
    <t>…as y aceite, perteneciente todo a la testa mentaría y ocurrencia de D. Josef Serrano. Quien quisiere hacer postura acuda por Ja audiencia de dicho señor y escribanía del número de D. Alfonso de Yévenes, que se le admitirá. En la Real y suprema ¡unta de apelaciones de los juzgados de correos de Espa ña e Indias se hallan pendientes autos sobre denuncia de varias posesiones y tierras, sitas en la villa y término de Mejorada del Campo: y por cuanto en dichos a…</t>
  </si>
  <si>
    <t>Za, Josef María</t>
  </si>
  <si>
    <t>Josef María Za</t>
  </si>
  <si>
    <t>…,Hoy he regresado á este rancho, y mañana pienso recorrer el de Xetla , para que de este modo tengan mas confianza sus habitantes. ,, Recomiendo á vmd. al alférez de Tehuantepeque D. Josef María Za mora , quien inmediatamente que le di orden avanzó al frente de la infantería, sin dar lugar á que los rebeldes hubieran cogido las armas, como al de igual clase D. Francisco Olavarri, que avanzó con la caballería hasta echarlos á lo profundo de una barranca,…</t>
  </si>
  <si>
    <t>Zafra, Josef Hermenegildo de</t>
  </si>
  <si>
    <t>Josef Hermenegildo de Zafra</t>
  </si>
  <si>
    <t>…Minutria. Colección de muestras para aprender á escribir el carácter bastardo, compuesta de 14 láminas por el orden y método mas sencillo que prescribe la enseñanza, es critas por D. Josef Hermenegildo de Zafra, profesor de primera educación, y gra badas por D. Pedro Gangoiti. Se hallará en la librería de Gila, calle de las Carre tas, y en el almacén de papel de Bueno, calle del Carmen, á 8 cuartos cada una, y á 14 rs. el cuaderno. En ambas partes se vende papel pau…</t>
  </si>
  <si>
    <t>Zaldivar, Florentino Annenteros y</t>
  </si>
  <si>
    <t>Florentino Annenteros y Zaldivar</t>
  </si>
  <si>
    <t>…ervido honrarle S. M. Cristianísima. Asimismo se ha dignado S. M. conceder su Real permiso para usar de la condecoración de la flor de Lis con que S. M. Cristianísima ha honrado á Don Florentino Annenteros y Zaldivar, regidor del ayuntamiento de la ciudad de la Havana. por su decidida adhesión á la justa causa de los Borbones. El Rey nuestro Señor se ha dignado conceder Real privilegio de villazgo á la villa de Viliasequilla , sacándola de la jurisdicción que en ella teni…</t>
  </si>
  <si>
    <t>Zamorátegui, Juan</t>
  </si>
  <si>
    <t>Juan Zamorátegui</t>
  </si>
  <si>
    <t>…de Huidobro. ,,Cori el respeto debido elevo á las superiores manos de V. E. el parte original que al regreso de su expedición me ha dado el teniente de realistas de este escuadrón D. Juan Zamorátegui, relativo á la prisión del rebelde Josef Herrera y sus secuaces, cuyas personas me ha entregado, siendo eviden tísima la ventaja que resulta á esta villa y su jurisdicción , asi por los muchos conocimientos que tenía de ella aquel malvado , cuanto por el casi…</t>
  </si>
  <si>
    <t>Zapata, Juan Francisco</t>
  </si>
  <si>
    <t>Juan Francisco Zapata</t>
  </si>
  <si>
    <t>…discurso inaugural sobre el amor á la patria por el señor censor d- J osef de Mier, oidor de esta Real audiencia: se leyó el extracto de actas de la socie dad por su secretario el Sr. D. Juan Francisco Zapata. Se presentaron á exa men ocho alumnos de matemáticas en primero, segundo y tercero año, los cuales respondieron con tanto acierto de su parte, como placer de los inteiigenres, á todas las proposiciones que respectivamente les fueron hechas sobre mecánica, hi…</t>
  </si>
  <si>
    <t>Zarneza, Antonio Ramón</t>
  </si>
  <si>
    <t>Antonio Ramón Zarneza</t>
  </si>
  <si>
    <t>…nte mes. Dióse principio por un papel alusivo al objeto, que leyó el primer maestro direc tor D. Cayetano Fernandez Villamil. Fueron examinados en aritmética Don Felipe Martínez , D. Antonio Ramón Zarneza, D. Joaquín Clavareza, Don Manuel María Ribero, D. Manuel Diaz, D. Vicente Rey, D. Anronio de Prado, D. Manuel Rodríguez Almeida, D. Fermín del Pedregal y D. Ra món Casal. En álgebra D. Josef Pujadas y D. Fermín Galccran. En geometría el citado Martínez , D.…</t>
  </si>
  <si>
    <t>Zea, Joaquín de</t>
  </si>
  <si>
    <t>Joaquín de Zea</t>
  </si>
  <si>
    <t>…de Castilla la Nueva á las inmediatas órdenes de V. E. En consecuencia de esta soberana resolución se ha servido S. M. nombrar para subinspector de Andalucía al mariscal de campo D. Joaquín de Zea; para Aragón ai de igual clase D. Francisco Ferraz, y para Castilla la Vieja al brigadier D. Joset' Marrón.” Lo que de Real orden traslado á V. para su inteligencia y cumplimien to en la parte que le toca. Dios guarde á V. muchos años. Madrid 21 de Abril de 1…</t>
  </si>
  <si>
    <t>Zoiiikoífer</t>
  </si>
  <si>
    <t>…por Mr. Ziegler Steiner; algunos diseños botáni cos por'Mr. Wiss, y una colección de plantas dibujadas para servir de pri meros materiales á una flora de la Suiza oriental por el doctor Zoiiikoífer. DOS SICILIAS. "Ñapóles 2$ de Octubre. La epidemia que ha reinado y reina todavía , aunque con menos fuerza, en casi toda Italia, ha causado hasta ahora tal estrago que en el solo reino de Ñapóles han muerto en este año 15c® personas mas de las que mueren ord…</t>
  </si>
  <si>
    <t>Zoilo, Manuel</t>
  </si>
  <si>
    <t>Manuel Zoilo</t>
  </si>
  <si>
    <t>…Torre, oficial mayor de la secretaría del Consejo de Estado; D. Juan Anto nio Mendez, director de la compañía del Guadalquivir; D. Manuel Zuaznabar, sumiller de cortina de S M. ; D. Manuel Zoilo, dignidad de la cate dral de Astorga, D. Fernando Medina, administrador de Rentas de Llerena; D. Santiago Jonatna, cónsul de S. M. en Amsterdam; D. Tadeo Jaudenes, decano del tribunal de cuentas de la Havana; D. Manuel Yarto, comisario ordenador honorario; D…</t>
  </si>
  <si>
    <t>Zuaznabar, Manuel</t>
  </si>
  <si>
    <t>Manuel Zuaznabar</t>
  </si>
  <si>
    <t>…o de Potes, maestrante de Ronda; D. Marcelino de la Torre, oficial mayor de la secretaría del Consejo de Estado; D. Juan Anto nio Mendez, director de la compañía del Guadalquivir; D. Manuel Zuaznabar, sumiller de cortina de S M. ; D. Manuel Zoilo, dignidad de la cate dral de Astorga, D. Fernando Medina, administrador de Rentas de Llerena; D. Santiago Jonatna, cónsul de S. M. en Amsterdam; D. Tadeo Jaudenes, decano del tribunal de cuentas de la Havana; D.…</t>
  </si>
  <si>
    <t>Zuazo, Josef Joaquín</t>
  </si>
  <si>
    <t>Josef Joaquín Zuazo</t>
  </si>
  <si>
    <t>…studios y un concurso lucido y numeroso , fue instalado el colegio de Santiago, después de haber pronunciado un elocuente discurso el director de él, y una exhorta ción análoga el Sr. D. Josef Joaquín Zuazo, cura rector de la parroquial de Santiago, y miembro de la misma junta. Efayuntamiento ha dedicado este establecimiento á la Reina nuestra Se ñora; y S. M. se ha dignado aceptar y aprobar este homenage, excitar de nuevo el zelo verdaderamente patriótico de es…</t>
  </si>
  <si>
    <t>Zubia, Ramón Antonio de</t>
  </si>
  <si>
    <t>Ramón Antonio de Zubia</t>
  </si>
  <si>
    <t>…1S17. Queriendo el Rey nuestro Señor connaturalizar en el reino los inventos útiles que pueden fomentar la agricultura é industria de la nación, y también premiar los esfuerzos de D. Ramón Antonio de Zubia , vecino de la ciudad</t>
  </si>
  <si>
    <t>Zuluaga, Josef Xavier de</t>
  </si>
  <si>
    <t>Josef Xavier de Zuluaga</t>
  </si>
  <si>
    <t>…. Francisco Es cudero; D. Ildefonso Ruiz del Rio; D. Luis Gargollo; D. Josef López del Diestro ; D. Andrés Marzan; D. Juan Miguel de Lostra; D. Antonio Fajar do; D. Tomas Urrutia; D. Josef Xavier de Zuluaga y D. Josef de Veamurguía, individuos de la junta de reemplazos establecida en Cádiz; D. Josef Miguel Formento, coronel de milicias de Fondo; D. Agustín Rodríguez y Fernandez, vecino de Montevideo; al capitán de fragata D. Juan Bautista Topete; D. Antonio Estevez, arcipreste de la col…</t>
  </si>
  <si>
    <t>Zúñiga, Diego Ortiz de</t>
  </si>
  <si>
    <t>Diego Ortiz de Zúñiga</t>
  </si>
  <si>
    <t>…pendientes sobre su adjudicación á legítimo heredero, se pre sentará en el término de 40 dias en la expresada ciudad. Anales eclesiásticos y seculares de la ciudad de Sevilla, por D. Diego Ortiz de Zúñiga, ilustrados por D. Antonio Espinosa: cinco tomos en 4.0 Véndese á 90 reales cada juego en papel en el almacén de la imprenta Rea!. EN LA IMPRENTA REAL.</t>
  </si>
  <si>
    <t>Züñiga, Rafaela Ortíz de</t>
  </si>
  <si>
    <t>Rafaela Ortíz de Züñiga</t>
  </si>
  <si>
    <t>…radora del patronato fundado por la Sra. Doña Elena de Ochoa y Lesea , condesa que fue de Lebrija, el título de Castilla de esta denominación , de que fue ultima poseedora la Sra. Doña Rafaela Ortíz de Züñiga; y debiendo enagenarse , según lo prevenido por la fundación, para invertir su producto en los objetos piadosos que ordena la misma, se anun cia al público para que las personas que reuniendo las calidades que exigen</t>
  </si>
  <si>
    <t>ZX</t>
  </si>
  <si>
    <t>…uirre que le acompañó. „Dios guarde á V. E. muchos años. Ixtlahuaca Marzo 14 de 1817.= Excmo. Sr. = Matias Martin y Aguirre. = Excmo. Sr. virey D. Juan Ruiz de Apodaca.” Parte del capitán ZX 'Valentín Amador, „Impuesto de hallarse en el pueblo de Sta. Cruz la gavilla del sacrilego clérigo Izquierdo, dispuse mi marcha por caminos extraviados, dejando en Temascaltepec al capitán D. Eugenio Barreda con su partida de dragones para ocultar de este mod…</t>
  </si>
  <si>
    <t>Fuentes oficiales y criterio de elaboración · 1817</t>
  </si>
  <si>
    <t>156 archivos · 1350 páginas · enlaces al facsímil oficial</t>
  </si>
  <si>
    <t>Archivo</t>
  </si>
  <si>
    <t>Páginas PDF</t>
  </si>
  <si>
    <t>Registros del índice</t>
  </si>
  <si>
    <t>Facsímil completo</t>
  </si>
  <si>
    <t>GMD-1817-1.pdf</t>
  </si>
  <si>
    <t>GMD-1817-2.pdf</t>
  </si>
  <si>
    <t>GMD-1817-3.pdf</t>
  </si>
  <si>
    <t>GMD-1817-4.pdf</t>
  </si>
  <si>
    <t>GMD-1817-5.pdf</t>
  </si>
  <si>
    <t>GMD-1817-6.pdf</t>
  </si>
  <si>
    <t>GMD-1817-7.pdf</t>
  </si>
  <si>
    <t>GMD-1817-8.pdf</t>
  </si>
  <si>
    <t>GMD-1817-9.pdf</t>
  </si>
  <si>
    <t>GMD-1817-10.pdf</t>
  </si>
  <si>
    <t>GMD-1817-11.pdf</t>
  </si>
  <si>
    <t>GMD-1817-12.pdf</t>
  </si>
  <si>
    <t>GMD-1817-13.pdf</t>
  </si>
  <si>
    <t>GMD-1817-14.pdf</t>
  </si>
  <si>
    <t>GMD-1817-15.pdf</t>
  </si>
  <si>
    <t>GMD-1817-16.pdf</t>
  </si>
  <si>
    <t>GMD-1817-17.pdf</t>
  </si>
  <si>
    <t>GMD-1817-18.pdf</t>
  </si>
  <si>
    <t>GMD-1817-19.pdf</t>
  </si>
  <si>
    <t>GMD-1817-20.pdf</t>
  </si>
  <si>
    <t>GMD-1817-21.pdf</t>
  </si>
  <si>
    <t>GMD-1817-22.pdf</t>
  </si>
  <si>
    <t>GMD-1817-23.pdf</t>
  </si>
  <si>
    <t>GMD-1817-24.pdf</t>
  </si>
  <si>
    <t>GMD-1817-25.pdf</t>
  </si>
  <si>
    <t>GMD-1817-26.pdf</t>
  </si>
  <si>
    <t>GMD-1817-27.pdf</t>
  </si>
  <si>
    <t>GMD-1817-28.pdf</t>
  </si>
  <si>
    <t>GMD-1817-29.pdf</t>
  </si>
  <si>
    <t>GMD-1817-30.pdf</t>
  </si>
  <si>
    <t>GMD-1817-31.pdf</t>
  </si>
  <si>
    <t>GMD-1817-32.pdf</t>
  </si>
  <si>
    <t>GMD-1817-33.pdf</t>
  </si>
  <si>
    <t>GMD-1817-34.pdf</t>
  </si>
  <si>
    <t>GMD-1817-35.pdf</t>
  </si>
  <si>
    <t>GMD-1817-36.pdf</t>
  </si>
  <si>
    <t>GMD-1817-37.pdf</t>
  </si>
  <si>
    <t>GMD-1817-38.pdf</t>
  </si>
  <si>
    <t>GMD-1817-39.pdf</t>
  </si>
  <si>
    <t>GMD-1817-40.pdf</t>
  </si>
  <si>
    <t>GMD-1817-41.pdf</t>
  </si>
  <si>
    <t>GMD-1817-42.pdf</t>
  </si>
  <si>
    <t>GMD-1817-43.pdf</t>
  </si>
  <si>
    <t>GMD-1817-44.pdf</t>
  </si>
  <si>
    <t>GMD-1817-45.pdf</t>
  </si>
  <si>
    <t>GMD-1817-46.pdf</t>
  </si>
  <si>
    <t>GMD-1817-47.pdf</t>
  </si>
  <si>
    <t>GMD-1817-48.pdf</t>
  </si>
  <si>
    <t>GMD-1817-49.pdf</t>
  </si>
  <si>
    <t>GMD-1817-50.pdf</t>
  </si>
  <si>
    <t>GMD-1817-51.pdf</t>
  </si>
  <si>
    <t>GMD-1817-52.pdf</t>
  </si>
  <si>
    <t>GMD-1817-53.pdf</t>
  </si>
  <si>
    <t>GMD-1817-54.pdf</t>
  </si>
  <si>
    <t>GMD-1817-55.pdf</t>
  </si>
  <si>
    <t>GMD-1817-56.pdf</t>
  </si>
  <si>
    <t>GMD-1817-57.pdf</t>
  </si>
  <si>
    <t>GMD-1817-58.pdf</t>
  </si>
  <si>
    <t>GMD-1817-59.pdf</t>
  </si>
  <si>
    <t>GMD-1817-60.pdf</t>
  </si>
  <si>
    <t>GMD-1817-61.pdf</t>
  </si>
  <si>
    <t>GMD-1817-62.pdf</t>
  </si>
  <si>
    <t>GMD-1817-63.pdf</t>
  </si>
  <si>
    <t>GMD-1817-64.pdf</t>
  </si>
  <si>
    <t>GMD-1817-65.pdf</t>
  </si>
  <si>
    <t>GMD-1817-66.pdf</t>
  </si>
  <si>
    <t>GMD-1817-67.pdf</t>
  </si>
  <si>
    <t>GMD-1817-68.pdf</t>
  </si>
  <si>
    <t>GMD-1817-69.pdf</t>
  </si>
  <si>
    <t>GMD-1817-70.pdf</t>
  </si>
  <si>
    <t>GMD-1817-71.pdf</t>
  </si>
  <si>
    <t>GMD-1817-72.pdf</t>
  </si>
  <si>
    <t>GMD-1817-73.pdf</t>
  </si>
  <si>
    <t>GMD-1817-74.pdf</t>
  </si>
  <si>
    <t>GMD-1817-75.pdf</t>
  </si>
  <si>
    <t>GMD-1817-76.pdf</t>
  </si>
  <si>
    <t>GMD-1817-77.pdf</t>
  </si>
  <si>
    <t>GMD-1817-78.pdf</t>
  </si>
  <si>
    <t>GMD-1817-79.pdf</t>
  </si>
  <si>
    <t>GMD-1817-80.pdf</t>
  </si>
  <si>
    <t>GMD-1817-81.pdf</t>
  </si>
  <si>
    <t>GMD-1817-82.pdf</t>
  </si>
  <si>
    <t>GMD-1817-83.pdf</t>
  </si>
  <si>
    <t>GMD-1817-84.pdf</t>
  </si>
  <si>
    <t>GMD-1817-85.pdf</t>
  </si>
  <si>
    <t>GMD-1817-86.pdf</t>
  </si>
  <si>
    <t>GMD-1817-87.pdf</t>
  </si>
  <si>
    <t>GMD-1817-88.pdf</t>
  </si>
  <si>
    <t>GMD-1817-89.pdf</t>
  </si>
  <si>
    <t>GMD-1817-90.pdf</t>
  </si>
  <si>
    <t>GMD-1817-91.pdf</t>
  </si>
  <si>
    <t>GMD-1817-92.pdf</t>
  </si>
  <si>
    <t>GMD-1817-93.pdf</t>
  </si>
  <si>
    <t>GMD-1817-94.pdf</t>
  </si>
  <si>
    <t>GMD-1817-95.pdf</t>
  </si>
  <si>
    <t>GMD-1817-96.pdf</t>
  </si>
  <si>
    <t>GMD-1817-97.pdf</t>
  </si>
  <si>
    <t>GMD-1817-98.pdf</t>
  </si>
  <si>
    <t>GMD-1817-99.pdf</t>
  </si>
  <si>
    <t>GMD-1817-100.pdf</t>
  </si>
  <si>
    <t>GMD-1817-101.pdf</t>
  </si>
  <si>
    <t>GMD-1817-102.pdf</t>
  </si>
  <si>
    <t>GMD-1817-103.pdf</t>
  </si>
  <si>
    <t>GMD-1817-104.pdf</t>
  </si>
  <si>
    <t>GMD-1817-105.pdf</t>
  </si>
  <si>
    <t>GMD-1817-106.pdf</t>
  </si>
  <si>
    <t>GMD-1817-107.pdf</t>
  </si>
  <si>
    <t>GMD-1817-108.pdf</t>
  </si>
  <si>
    <t>GMD-1817-109.pdf</t>
  </si>
  <si>
    <t>GMD-1817-110.pdf</t>
  </si>
  <si>
    <t>GMD-1817-111.pdf</t>
  </si>
  <si>
    <t>GMD-1817-112.pdf</t>
  </si>
  <si>
    <t>GMD-1817-113.pdf</t>
  </si>
  <si>
    <t>GMD-1817-114.pdf</t>
  </si>
  <si>
    <t>GMD-1817-115.pdf</t>
  </si>
  <si>
    <t>GMD-1817-116.pdf</t>
  </si>
  <si>
    <t>GMD-1817-117.pdf</t>
  </si>
  <si>
    <t>GMD-1817-118.pdf</t>
  </si>
  <si>
    <t>GMD-1817-119.pdf</t>
  </si>
  <si>
    <t>GMD-1817-120.pdf</t>
  </si>
  <si>
    <t>GMD-1817-121.pdf</t>
  </si>
  <si>
    <t>GMD-1817-122.pdf</t>
  </si>
  <si>
    <t>GMD-1817-123.pdf</t>
  </si>
  <si>
    <t>GMD-1817-124.pdf</t>
  </si>
  <si>
    <t>GMD-1817-125.pdf</t>
  </si>
  <si>
    <t>GMD-1817-126.pdf</t>
  </si>
  <si>
    <t>GMD-1817-127.pdf</t>
  </si>
  <si>
    <t>GMD-1817-128.pdf</t>
  </si>
  <si>
    <t>GMD-1817-129.pdf</t>
  </si>
  <si>
    <t>GMD-1817-130.pdf</t>
  </si>
  <si>
    <t>GMD-1817-131.pdf</t>
  </si>
  <si>
    <t>GMD-1817-132.pdf</t>
  </si>
  <si>
    <t>GMD-1817-133.pdf</t>
  </si>
  <si>
    <t>GMD-1817-134.pdf</t>
  </si>
  <si>
    <t>GMD-1817-135.pdf</t>
  </si>
  <si>
    <t>GMD-1817-136.pdf</t>
  </si>
  <si>
    <t>GMD-1817-137.pdf</t>
  </si>
  <si>
    <t>GMD-1817-138.pdf</t>
  </si>
  <si>
    <t>GMD-1817-139.pdf</t>
  </si>
  <si>
    <t>GMD-1817-140.pdf</t>
  </si>
  <si>
    <t>GMD-1817-141.pdf</t>
  </si>
  <si>
    <t>GMD-1817-142.pdf</t>
  </si>
  <si>
    <t>GMD-1817-143.pdf</t>
  </si>
  <si>
    <t>GMD-1817-144.pdf</t>
  </si>
  <si>
    <t>GMD-1817-145.pdf</t>
  </si>
  <si>
    <t>GMD-1817-146.pdf</t>
  </si>
  <si>
    <t>GMD-1817-147.pdf</t>
  </si>
  <si>
    <t>GMD-1817-148.pdf</t>
  </si>
  <si>
    <t>GMD-1817-149.pdf</t>
  </si>
  <si>
    <t>GMD-1817-150.pdf</t>
  </si>
  <si>
    <t>GMD-1817-151.pdf</t>
  </si>
  <si>
    <t>GMD-1817-152.pdf</t>
  </si>
  <si>
    <t>GMD-1817-153.pdf</t>
  </si>
  <si>
    <t>GMD-1817-154.pdf</t>
  </si>
  <si>
    <t>GMD-1817-155.pdf</t>
  </si>
  <si>
    <t>GMD-1817-156.pdf</t>
  </si>
  <si>
    <t>Criterios, alcance y limitaciones</t>
  </si>
  <si>
    <t>Cobertura</t>
  </si>
  <si>
    <t>Se incluyen los 156 archivos localizados en la hemeroteca oficial entre el 1 de enero y el 31 de diciembre de 1817.</t>
  </si>
  <si>
    <t>Cabeceras</t>
  </si>
  <si>
    <t>Gaceta de Madrid (156 archivos).</t>
  </si>
  <si>
    <t>Numeración</t>
  </si>
  <si>
    <t>La numeración de cada ejemplar se muestra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</si>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</sst>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17" displayName="IndiceOnomasticoAnual1817" ref="A6:K4065" totalsRowShown="0">
  <autoFilter ref="A6:K4065"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17" displayName="FuentesGacetaAnual1817" ref="A4:F160" totalsRowShown="0">
  <autoFilter ref="A4:F160"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-30174</v>
      </c>
      <c r="F7" s="3" t="s">
        <v>19</v>
      </c>
      <c r="G7" s="3" t="s">
        <v>20</v>
      </c>
      <c r="H7" s="2" t="s">
        <v>21</v>
      </c>
      <c r="I7" s="2" t="s">
        <v>22</v>
      </c>
      <c r="J7" s="3" t="str">
        <f>HYPERLINK("https://www.boe.es/gazeta/dias/1817/05/20/pdfs/GMD-1817-60.pdf#page=7","Abrir facsímil")</f>
        <v>Abrir facsímil</v>
      </c>
      <c r="K7" s="3" t="s">
        <v>23</v>
      </c>
    </row>
    <row r="8" spans="1:11" ht="42" customHeight="1">
      <c r="A8" s="2" t="s">
        <v>24</v>
      </c>
      <c r="B8" s="2" t="s">
        <v>25</v>
      </c>
      <c r="C8" s="2" t="s">
        <v>17</v>
      </c>
      <c r="D8" s="2" t="s">
        <v>18</v>
      </c>
      <c r="E8" s="5">
        <v>-30051</v>
      </c>
      <c r="F8" s="3" t="s">
        <v>26</v>
      </c>
      <c r="G8" s="3" t="s">
        <v>20</v>
      </c>
      <c r="H8" s="2" t="s">
        <v>27</v>
      </c>
      <c r="I8" s="2" t="s">
        <v>28</v>
      </c>
      <c r="J8" s="3" t="str">
        <f>HYPERLINK("https://www.boe.es/gazeta/dias/1817/09/20/pdfs/GMD-1817-113.pdf#page=7","Abrir facsímil")</f>
        <v>Abrir facsímil</v>
      </c>
      <c r="K8" s="3" t="s">
        <v>29</v>
      </c>
    </row>
    <row r="9" spans="1:11" ht="42" customHeight="1">
      <c r="A9" s="2" t="s">
        <v>30</v>
      </c>
      <c r="B9" s="2" t="s">
        <v>31</v>
      </c>
      <c r="C9" s="2" t="s">
        <v>17</v>
      </c>
      <c r="D9" s="2" t="s">
        <v>18</v>
      </c>
      <c r="E9" s="5">
        <v>-29974</v>
      </c>
      <c r="F9" s="3" t="s">
        <v>32</v>
      </c>
      <c r="G9" s="3" t="s">
        <v>20</v>
      </c>
      <c r="H9" s="2" t="s">
        <v>27</v>
      </c>
      <c r="I9" s="2" t="s">
        <v>33</v>
      </c>
      <c r="J9" s="3" t="str">
        <f>HYPERLINK("https://www.boe.es/gazeta/dias/1817/12/06/pdfs/GMD-1817-146.pdf#page=7","Abrir facsímil")</f>
        <v>Abrir facsímil</v>
      </c>
      <c r="K9" s="3" t="s">
        <v>29</v>
      </c>
    </row>
    <row r="10" spans="1:11" ht="42" customHeight="1">
      <c r="A10" s="2" t="s">
        <v>34</v>
      </c>
      <c r="B10" s="2" t="s">
        <v>35</v>
      </c>
      <c r="C10" s="2" t="s">
        <v>36</v>
      </c>
      <c r="D10" s="2" t="s">
        <v>37</v>
      </c>
      <c r="E10" s="5">
        <v>-30193</v>
      </c>
      <c r="F10" s="3" t="s">
        <v>38</v>
      </c>
      <c r="G10" s="3" t="s">
        <v>39</v>
      </c>
      <c r="H10" s="2" t="s">
        <v>21</v>
      </c>
      <c r="I10" s="2" t="s">
        <v>40</v>
      </c>
      <c r="J10" s="3" t="str">
        <f>HYPERLINK("https://www.boe.es/gazeta/dias/1817/05/01/pdfs/GMD-1817-52.pdf#page=5","Abrir facsímil")</f>
        <v>Abrir facsímil</v>
      </c>
      <c r="K10" s="3" t="s">
        <v>23</v>
      </c>
    </row>
    <row r="11" spans="1:11" ht="42" customHeight="1">
      <c r="A11" s="2" t="s">
        <v>41</v>
      </c>
      <c r="B11" s="2" t="s">
        <v>42</v>
      </c>
      <c r="C11" s="2" t="s">
        <v>43</v>
      </c>
      <c r="D11" s="2" t="s">
        <v>44</v>
      </c>
      <c r="E11" s="5">
        <v>-30079</v>
      </c>
      <c r="F11" s="3" t="s">
        <v>45</v>
      </c>
      <c r="G11" s="3" t="s">
        <v>39</v>
      </c>
      <c r="H11" s="2" t="s">
        <v>21</v>
      </c>
      <c r="I11" s="2" t="s">
        <v>46</v>
      </c>
      <c r="J11" s="3" t="str">
        <f>HYPERLINK("https://www.boe.es/gazeta/dias/1817/08/23/pdfs/GMD-1817-101.pdf#page=5","Abrir facsímil")</f>
        <v>Abrir facsímil</v>
      </c>
      <c r="K11" s="3" t="s">
        <v>23</v>
      </c>
    </row>
    <row r="12" spans="1:11" ht="42" customHeight="1">
      <c r="A12" s="2" t="s">
        <v>47</v>
      </c>
      <c r="B12" s="2" t="s">
        <v>48</v>
      </c>
      <c r="C12" s="2" t="s">
        <v>49</v>
      </c>
      <c r="D12" s="2" t="s">
        <v>44</v>
      </c>
      <c r="E12" s="5">
        <v>-29992</v>
      </c>
      <c r="F12" s="3" t="s">
        <v>50</v>
      </c>
      <c r="G12" s="3" t="s">
        <v>51</v>
      </c>
      <c r="H12" s="2" t="s">
        <v>21</v>
      </c>
      <c r="I12" s="2" t="s">
        <v>52</v>
      </c>
      <c r="J12" s="3" t="str">
        <f>HYPERLINK("https://www.boe.es/gazeta/dias/1817/11/18/pdfs/GMD-1817-138.pdf#page=8","Abrir facsímil")</f>
        <v>Abrir facsímil</v>
      </c>
      <c r="K12" s="3" t="s">
        <v>23</v>
      </c>
    </row>
    <row r="13" spans="1:11" ht="42" customHeight="1">
      <c r="A13" s="2" t="s">
        <v>53</v>
      </c>
      <c r="B13" s="2" t="s">
        <v>54</v>
      </c>
      <c r="C13" s="2" t="s">
        <v>55</v>
      </c>
      <c r="D13" s="2" t="s">
        <v>44</v>
      </c>
      <c r="E13" s="5">
        <v>-30237</v>
      </c>
      <c r="F13" s="3" t="s">
        <v>56</v>
      </c>
      <c r="G13" s="3" t="s">
        <v>57</v>
      </c>
      <c r="H13" s="2" t="s">
        <v>21</v>
      </c>
      <c r="I13" s="2" t="s">
        <v>58</v>
      </c>
      <c r="J13" s="3" t="str">
        <f>HYPERLINK("https://www.boe.es/gazeta/dias/1817/03/18/pdfs/GMD-1817-33.pdf#page=6","Abrir facsímil")</f>
        <v>Abrir facsímil</v>
      </c>
      <c r="K13" s="3" t="s">
        <v>23</v>
      </c>
    </row>
    <row r="14" spans="1:11" ht="42" customHeight="1">
      <c r="A14" s="2" t="s">
        <v>53</v>
      </c>
      <c r="B14" s="2" t="s">
        <v>54</v>
      </c>
      <c r="C14" s="2" t="s">
        <v>17</v>
      </c>
      <c r="D14" s="2" t="s">
        <v>18</v>
      </c>
      <c r="E14" s="5">
        <v>-29992</v>
      </c>
      <c r="F14" s="3" t="s">
        <v>50</v>
      </c>
      <c r="G14" s="3" t="s">
        <v>20</v>
      </c>
      <c r="H14" s="2" t="s">
        <v>21</v>
      </c>
      <c r="I14" s="2" t="s">
        <v>59</v>
      </c>
      <c r="J14" s="3" t="str">
        <f>HYPERLINK("https://www.boe.es/gazeta/dias/1817/11/18/pdfs/GMD-1817-138.pdf#page=7","Abrir facsímil")</f>
        <v>Abrir facsímil</v>
      </c>
      <c r="K14" s="3" t="s">
        <v>23</v>
      </c>
    </row>
    <row r="15" spans="1:11" ht="42" customHeight="1">
      <c r="A15" s="2" t="s">
        <v>60</v>
      </c>
      <c r="B15" s="2" t="s">
        <v>61</v>
      </c>
      <c r="C15" s="2" t="s">
        <v>17</v>
      </c>
      <c r="D15" s="2" t="s">
        <v>18</v>
      </c>
      <c r="E15" s="5">
        <v>-30242</v>
      </c>
      <c r="F15" s="3" t="s">
        <v>62</v>
      </c>
      <c r="G15" s="3" t="s">
        <v>63</v>
      </c>
      <c r="H15" s="2" t="s">
        <v>21</v>
      </c>
      <c r="I15" s="2" t="s">
        <v>64</v>
      </c>
      <c r="J15" s="3" t="str">
        <f>HYPERLINK("https://www.boe.es/gazeta/dias/1817/03/13/pdfs/GMD-1817-31.pdf#page=7","Abrir facsímil")</f>
        <v>Abrir facsímil</v>
      </c>
      <c r="K15" s="3" t="s">
        <v>23</v>
      </c>
    </row>
    <row r="16" spans="1:11" ht="42" customHeight="1">
      <c r="A16" s="2" t="s">
        <v>65</v>
      </c>
      <c r="B16" s="2" t="s">
        <v>66</v>
      </c>
      <c r="C16" s="2" t="s">
        <v>36</v>
      </c>
      <c r="D16" s="2" t="s">
        <v>37</v>
      </c>
      <c r="E16" s="5">
        <v>-30307</v>
      </c>
      <c r="F16" s="3" t="s">
        <v>67</v>
      </c>
      <c r="G16" s="3" t="s">
        <v>68</v>
      </c>
      <c r="H16" s="2" t="s">
        <v>27</v>
      </c>
      <c r="I16" s="2" t="s">
        <v>69</v>
      </c>
      <c r="J16" s="3" t="str">
        <f>HYPERLINK("https://www.boe.es/gazeta/dias/1817/01/07/pdfs/GMD-1817-3.pdf#page=8","Abrir facsímil")</f>
        <v>Abrir facsímil</v>
      </c>
      <c r="K16" s="3" t="s">
        <v>29</v>
      </c>
    </row>
    <row r="17" spans="1:11" ht="42" customHeight="1">
      <c r="A17" s="2" t="s">
        <v>70</v>
      </c>
      <c r="B17" s="2" t="s">
        <v>70</v>
      </c>
      <c r="C17" s="2" t="s">
        <v>17</v>
      </c>
      <c r="D17" s="2" t="s">
        <v>18</v>
      </c>
      <c r="E17" s="5">
        <v>-30055</v>
      </c>
      <c r="F17" s="3" t="s">
        <v>71</v>
      </c>
      <c r="G17" s="3" t="s">
        <v>72</v>
      </c>
      <c r="H17" s="2" t="s">
        <v>21</v>
      </c>
      <c r="I17" s="2" t="s">
        <v>73</v>
      </c>
      <c r="J17" s="3" t="str">
        <f>HYPERLINK("https://www.boe.es/gazeta/dias/1817/09/16/pdfs/GMD-1817-111.pdf#page=1","Abrir facsímil")</f>
        <v>Abrir facsímil</v>
      </c>
      <c r="K17" s="3" t="s">
        <v>23</v>
      </c>
    </row>
    <row r="18" spans="1:11" ht="42" customHeight="1">
      <c r="A18" s="2" t="s">
        <v>74</v>
      </c>
      <c r="B18" s="2" t="s">
        <v>75</v>
      </c>
      <c r="C18" s="2" t="s">
        <v>43</v>
      </c>
      <c r="D18" s="2" t="s">
        <v>44</v>
      </c>
      <c r="E18" s="5">
        <v>-29985</v>
      </c>
      <c r="F18" s="3" t="s">
        <v>76</v>
      </c>
      <c r="G18" s="3" t="s">
        <v>77</v>
      </c>
      <c r="H18" s="2" t="s">
        <v>21</v>
      </c>
      <c r="I18" s="2" t="s">
        <v>78</v>
      </c>
      <c r="J18" s="3" t="str">
        <f>HYPERLINK("https://www.boe.es/gazeta/dias/1817/11/25/pdfs/GMD-1817-141.pdf#page=8","Abrir facsímil")</f>
        <v>Abrir facsímil</v>
      </c>
      <c r="K18" s="3" t="s">
        <v>23</v>
      </c>
    </row>
    <row r="19" spans="1:11" ht="42" customHeight="1">
      <c r="A19" s="2" t="s">
        <v>79</v>
      </c>
      <c r="B19" s="2" t="s">
        <v>80</v>
      </c>
      <c r="C19" s="2" t="s">
        <v>17</v>
      </c>
      <c r="D19" s="2" t="s">
        <v>18</v>
      </c>
      <c r="E19" s="5">
        <v>-29976</v>
      </c>
      <c r="F19" s="3" t="s">
        <v>81</v>
      </c>
      <c r="G19" s="3" t="s">
        <v>82</v>
      </c>
      <c r="H19" s="2" t="s">
        <v>21</v>
      </c>
      <c r="I19" s="2" t="s">
        <v>83</v>
      </c>
      <c r="J19" s="3" t="str">
        <f>HYPERLINK("https://www.boe.es/gazeta/dias/1817/12/04/pdfs/GMD-1817-145.pdf#page=12","Abrir facsímil")</f>
        <v>Abrir facsímil</v>
      </c>
      <c r="K19" s="3" t="s">
        <v>23</v>
      </c>
    </row>
    <row r="20" spans="1:11" ht="42" customHeight="1">
      <c r="A20" s="2" t="s">
        <v>84</v>
      </c>
      <c r="B20" s="2" t="s">
        <v>85</v>
      </c>
      <c r="C20" s="2" t="s">
        <v>55</v>
      </c>
      <c r="D20" s="2" t="s">
        <v>44</v>
      </c>
      <c r="E20" s="5">
        <v>-30312</v>
      </c>
      <c r="F20" s="3" t="s">
        <v>86</v>
      </c>
      <c r="G20" s="3" t="s">
        <v>87</v>
      </c>
      <c r="H20" s="2" t="s">
        <v>21</v>
      </c>
      <c r="I20" s="2" t="s">
        <v>88</v>
      </c>
      <c r="J20" s="3" t="str">
        <f>HYPERLINK("https://www.boe.es/gazeta/dias/1817/01/02/pdfs/GMD-1817-1.pdf#page=4","Abrir facsímil")</f>
        <v>Abrir facsímil</v>
      </c>
      <c r="K20" s="3" t="s">
        <v>23</v>
      </c>
    </row>
    <row r="21" spans="1:11" ht="42" customHeight="1">
      <c r="A21" s="2" t="s">
        <v>84</v>
      </c>
      <c r="B21" s="2" t="s">
        <v>85</v>
      </c>
      <c r="C21" s="2" t="s">
        <v>17</v>
      </c>
      <c r="D21" s="2" t="s">
        <v>18</v>
      </c>
      <c r="E21" s="5">
        <v>-30090</v>
      </c>
      <c r="F21" s="3" t="s">
        <v>89</v>
      </c>
      <c r="G21" s="3" t="s">
        <v>57</v>
      </c>
      <c r="H21" s="2" t="s">
        <v>21</v>
      </c>
      <c r="I21" s="2" t="s">
        <v>90</v>
      </c>
      <c r="J21" s="3" t="str">
        <f>HYPERLINK("https://www.boe.es/gazeta/dias/1817/08/12/pdfs/GMD-1817-96.pdf#page=6","Abrir facsímil")</f>
        <v>Abrir facsímil</v>
      </c>
      <c r="K21" s="3" t="s">
        <v>23</v>
      </c>
    </row>
    <row r="22" spans="1:11" ht="42" customHeight="1">
      <c r="A22" s="2" t="s">
        <v>91</v>
      </c>
      <c r="B22" s="2" t="s">
        <v>92</v>
      </c>
      <c r="C22" s="2" t="s">
        <v>36</v>
      </c>
      <c r="D22" s="2" t="s">
        <v>37</v>
      </c>
      <c r="E22" s="5">
        <v>-30310</v>
      </c>
      <c r="F22" s="3" t="s">
        <v>93</v>
      </c>
      <c r="G22" s="3" t="s">
        <v>77</v>
      </c>
      <c r="H22" s="2" t="s">
        <v>21</v>
      </c>
      <c r="I22" s="2" t="s">
        <v>94</v>
      </c>
      <c r="J22" s="3" t="str">
        <f>HYPERLINK("https://www.boe.es/gazeta/dias/1817/01/04/pdfs/GMD-1817-2.pdf#page=8","Abrir facsímil")</f>
        <v>Abrir facsímil</v>
      </c>
      <c r="K22" s="3" t="s">
        <v>23</v>
      </c>
    </row>
    <row r="23" spans="1:11" ht="42" customHeight="1">
      <c r="A23" s="2" t="s">
        <v>95</v>
      </c>
      <c r="B23" s="2" t="s">
        <v>96</v>
      </c>
      <c r="C23" s="2" t="s">
        <v>97</v>
      </c>
      <c r="D23" s="2" t="s">
        <v>44</v>
      </c>
      <c r="E23" s="5">
        <v>-30170</v>
      </c>
      <c r="F23" s="3" t="s">
        <v>98</v>
      </c>
      <c r="G23" s="3" t="s">
        <v>77</v>
      </c>
      <c r="H23" s="2" t="s">
        <v>21</v>
      </c>
      <c r="I23" s="2" t="s">
        <v>99</v>
      </c>
      <c r="J23" s="3" t="str">
        <f>HYPERLINK("https://www.boe.es/gazeta/dias/1817/05/24/pdfs/GMD-1817-62.pdf#page=8","Abrir facsímil")</f>
        <v>Abrir facsímil</v>
      </c>
      <c r="K23" s="3" t="s">
        <v>23</v>
      </c>
    </row>
    <row r="24" spans="1:11" ht="42" customHeight="1">
      <c r="A24" s="2" t="s">
        <v>100</v>
      </c>
      <c r="B24" s="2" t="s">
        <v>101</v>
      </c>
      <c r="C24" s="2" t="s">
        <v>55</v>
      </c>
      <c r="D24" s="2" t="s">
        <v>44</v>
      </c>
      <c r="E24" s="5">
        <v>-30125</v>
      </c>
      <c r="F24" s="3" t="s">
        <v>102</v>
      </c>
      <c r="G24" s="3" t="s">
        <v>103</v>
      </c>
      <c r="H24" s="2" t="s">
        <v>21</v>
      </c>
      <c r="I24" s="2" t="s">
        <v>104</v>
      </c>
      <c r="J24" s="3" t="str">
        <f>HYPERLINK("https://www.boe.es/gazeta/dias/1817/07/08/pdfs/GMD-1817-81.pdf#page=12","Abrir facsímil")</f>
        <v>Abrir facsímil</v>
      </c>
      <c r="K24" s="3" t="s">
        <v>23</v>
      </c>
    </row>
    <row r="25" spans="1:11" ht="42" customHeight="1">
      <c r="A25" s="2" t="s">
        <v>105</v>
      </c>
      <c r="B25" s="2" t="s">
        <v>106</v>
      </c>
      <c r="C25" s="2" t="s">
        <v>49</v>
      </c>
      <c r="D25" s="2" t="s">
        <v>44</v>
      </c>
      <c r="E25" s="5">
        <v>-30265</v>
      </c>
      <c r="F25" s="3" t="s">
        <v>107</v>
      </c>
      <c r="G25" s="3" t="s">
        <v>77</v>
      </c>
      <c r="H25" s="2" t="s">
        <v>21</v>
      </c>
      <c r="I25" s="2" t="s">
        <v>108</v>
      </c>
      <c r="J25" s="3" t="str">
        <f>HYPERLINK("https://www.boe.es/gazeta/dias/1817/02/18/pdfs/GMD-1817-21.pdf#page=8","Abrir facsímil")</f>
        <v>Abrir facsímil</v>
      </c>
      <c r="K25" s="3" t="s">
        <v>23</v>
      </c>
    </row>
    <row r="26" spans="1:11" ht="42" customHeight="1">
      <c r="A26" s="2" t="s">
        <v>109</v>
      </c>
      <c r="B26" s="2" t="s">
        <v>110</v>
      </c>
      <c r="C26" s="2" t="s">
        <v>43</v>
      </c>
      <c r="D26" s="2" t="s">
        <v>44</v>
      </c>
      <c r="E26" s="5">
        <v>-29981</v>
      </c>
      <c r="F26" s="3" t="s">
        <v>111</v>
      </c>
      <c r="G26" s="3" t="s">
        <v>112</v>
      </c>
      <c r="H26" s="2" t="s">
        <v>21</v>
      </c>
      <c r="I26" s="2" t="s">
        <v>113</v>
      </c>
      <c r="J26" s="3" t="str">
        <f>HYPERLINK("https://www.boe.es/gazeta/dias/1817/11/29/pdfs/GMD-1817-143.pdf#page=11","Abrir facsímil")</f>
        <v>Abrir facsímil</v>
      </c>
      <c r="K26" s="3" t="s">
        <v>23</v>
      </c>
    </row>
    <row r="27" spans="1:11" ht="42" customHeight="1">
      <c r="A27" s="2" t="s">
        <v>114</v>
      </c>
      <c r="B27" s="2" t="s">
        <v>115</v>
      </c>
      <c r="C27" s="2" t="s">
        <v>43</v>
      </c>
      <c r="D27" s="2" t="s">
        <v>44</v>
      </c>
      <c r="E27" s="5">
        <v>-30160</v>
      </c>
      <c r="F27" s="3" t="s">
        <v>116</v>
      </c>
      <c r="G27" s="3" t="s">
        <v>39</v>
      </c>
      <c r="H27" s="2" t="s">
        <v>21</v>
      </c>
      <c r="I27" s="2" t="s">
        <v>117</v>
      </c>
      <c r="J27" s="3" t="str">
        <f>HYPERLINK("https://www.boe.es/gazeta/dias/1817/06/03/pdfs/GMD-1817-66.pdf#page=5","Abrir facsímil")</f>
        <v>Abrir facsímil</v>
      </c>
      <c r="K27" s="3" t="s">
        <v>23</v>
      </c>
    </row>
    <row r="28" spans="1:11" ht="42" customHeight="1">
      <c r="A28" s="2" t="s">
        <v>118</v>
      </c>
      <c r="B28" s="2" t="s">
        <v>119</v>
      </c>
      <c r="C28" s="2" t="s">
        <v>97</v>
      </c>
      <c r="D28" s="2" t="s">
        <v>44</v>
      </c>
      <c r="E28" s="5">
        <v>-30249</v>
      </c>
      <c r="F28" s="3" t="s">
        <v>120</v>
      </c>
      <c r="G28" s="3" t="s">
        <v>39</v>
      </c>
      <c r="H28" s="2" t="s">
        <v>21</v>
      </c>
      <c r="I28" s="2" t="s">
        <v>121</v>
      </c>
      <c r="J28" s="3" t="str">
        <f>HYPERLINK("https://www.boe.es/gazeta/dias/1817/03/06/pdfs/GMD-1817-28.pdf#page=5","Abrir facsímil")</f>
        <v>Abrir facsímil</v>
      </c>
      <c r="K28" s="3" t="s">
        <v>23</v>
      </c>
    </row>
    <row r="29" spans="1:11" ht="42" customHeight="1">
      <c r="A29" s="2" t="s">
        <v>122</v>
      </c>
      <c r="B29" s="2" t="s">
        <v>123</v>
      </c>
      <c r="C29" s="2" t="s">
        <v>55</v>
      </c>
      <c r="D29" s="2" t="s">
        <v>44</v>
      </c>
      <c r="E29" s="5">
        <v>-30254</v>
      </c>
      <c r="F29" s="3" t="s">
        <v>124</v>
      </c>
      <c r="G29" s="3" t="s">
        <v>125</v>
      </c>
      <c r="H29" s="2" t="s">
        <v>21</v>
      </c>
      <c r="I29" s="2" t="s">
        <v>126</v>
      </c>
      <c r="J29" s="3" t="str">
        <f>HYPERLINK("https://www.boe.es/gazeta/dias/1817/03/01/pdfs/GMD-1817-26.pdf#page=5","Abrir facsímil")</f>
        <v>Abrir facsímil</v>
      </c>
      <c r="K29" s="3" t="s">
        <v>23</v>
      </c>
    </row>
    <row r="30" spans="1:11" ht="42" customHeight="1">
      <c r="A30" s="2" t="s">
        <v>127</v>
      </c>
      <c r="B30" s="2" t="s">
        <v>128</v>
      </c>
      <c r="C30" s="2" t="s">
        <v>49</v>
      </c>
      <c r="D30" s="2" t="s">
        <v>44</v>
      </c>
      <c r="E30" s="5">
        <v>-30053</v>
      </c>
      <c r="F30" s="3" t="s">
        <v>129</v>
      </c>
      <c r="G30" s="3" t="s">
        <v>112</v>
      </c>
      <c r="H30" s="2" t="s">
        <v>21</v>
      </c>
      <c r="I30" s="2" t="s">
        <v>130</v>
      </c>
      <c r="J30" s="3" t="str">
        <f>HYPERLINK("https://www.boe.es/gazeta/dias/1817/09/18/pdfs/GMD-1817-112.pdf#page=11","Abrir facsímil")</f>
        <v>Abrir facsímil</v>
      </c>
      <c r="K30" s="3" t="s">
        <v>23</v>
      </c>
    </row>
    <row r="31" spans="1:11" ht="42" customHeight="1">
      <c r="A31" s="2" t="s">
        <v>131</v>
      </c>
      <c r="B31" s="2" t="s">
        <v>132</v>
      </c>
      <c r="C31" s="2" t="s">
        <v>36</v>
      </c>
      <c r="D31" s="2" t="s">
        <v>37</v>
      </c>
      <c r="E31" s="5">
        <v>-30081</v>
      </c>
      <c r="F31" s="3" t="s">
        <v>133</v>
      </c>
      <c r="G31" s="3" t="s">
        <v>20</v>
      </c>
      <c r="H31" s="2" t="s">
        <v>21</v>
      </c>
      <c r="I31" s="2" t="s">
        <v>134</v>
      </c>
      <c r="J31" s="3" t="str">
        <f>HYPERLINK("https://www.boe.es/gazeta/dias/1817/08/21/pdfs/GMD-1817-100.pdf#page=7","Abrir facsímil")</f>
        <v>Abrir facsímil</v>
      </c>
      <c r="K31" s="3" t="s">
        <v>23</v>
      </c>
    </row>
    <row r="32" spans="1:11" ht="42" customHeight="1">
      <c r="A32" s="2" t="s">
        <v>131</v>
      </c>
      <c r="B32" s="2" t="s">
        <v>132</v>
      </c>
      <c r="C32" s="2" t="s">
        <v>36</v>
      </c>
      <c r="D32" s="2" t="s">
        <v>37</v>
      </c>
      <c r="E32" s="5">
        <v>-30081</v>
      </c>
      <c r="F32" s="3" t="s">
        <v>133</v>
      </c>
      <c r="G32" s="3" t="s">
        <v>77</v>
      </c>
      <c r="H32" s="2" t="s">
        <v>21</v>
      </c>
      <c r="I32" s="2" t="s">
        <v>135</v>
      </c>
      <c r="J32" s="3" t="str">
        <f>HYPERLINK("https://www.boe.es/gazeta/dias/1817/08/21/pdfs/GMD-1817-100.pdf#page=8","Abrir facsímil")</f>
        <v>Abrir facsímil</v>
      </c>
      <c r="K32" s="3" t="s">
        <v>23</v>
      </c>
    </row>
    <row r="33" spans="1:11" ht="42" customHeight="1">
      <c r="A33" s="2" t="s">
        <v>136</v>
      </c>
      <c r="B33" s="2" t="s">
        <v>137</v>
      </c>
      <c r="C33" s="2" t="s">
        <v>138</v>
      </c>
      <c r="D33" s="2" t="s">
        <v>44</v>
      </c>
      <c r="E33" s="5">
        <v>-30205</v>
      </c>
      <c r="F33" s="3" t="s">
        <v>139</v>
      </c>
      <c r="G33" s="3" t="s">
        <v>20</v>
      </c>
      <c r="H33" s="2" t="s">
        <v>21</v>
      </c>
      <c r="I33" s="2" t="s">
        <v>140</v>
      </c>
      <c r="J33" s="3" t="str">
        <f>HYPERLINK("https://www.boe.es/gazeta/dias/1817/04/19/pdfs/GMD-1817-47.pdf#page=7","Abrir facsímil")</f>
        <v>Abrir facsímil</v>
      </c>
      <c r="K33" s="3" t="s">
        <v>23</v>
      </c>
    </row>
    <row r="34" spans="1:11" ht="42" customHeight="1">
      <c r="A34" s="2" t="s">
        <v>141</v>
      </c>
      <c r="B34" s="2" t="s">
        <v>142</v>
      </c>
      <c r="C34" s="2" t="s">
        <v>17</v>
      </c>
      <c r="D34" s="2" t="s">
        <v>18</v>
      </c>
      <c r="E34" s="5">
        <v>-30293</v>
      </c>
      <c r="F34" s="3" t="s">
        <v>143</v>
      </c>
      <c r="G34" s="3" t="s">
        <v>144</v>
      </c>
      <c r="H34" s="2" t="s">
        <v>27</v>
      </c>
      <c r="I34" s="2" t="s">
        <v>145</v>
      </c>
      <c r="J34" s="3" t="str">
        <f>HYPERLINK("https://www.boe.es/gazeta/dias/1817/01/21/pdfs/GMD-1817-9.pdf#page=4","Abrir facsímil")</f>
        <v>Abrir facsímil</v>
      </c>
      <c r="K34" s="3" t="s">
        <v>29</v>
      </c>
    </row>
    <row r="35" spans="1:11" ht="42" customHeight="1">
      <c r="A35" s="2" t="s">
        <v>146</v>
      </c>
      <c r="B35" s="2" t="s">
        <v>147</v>
      </c>
      <c r="C35" s="2" t="s">
        <v>36</v>
      </c>
      <c r="D35" s="2" t="s">
        <v>37</v>
      </c>
      <c r="E35" s="5">
        <v>-29983</v>
      </c>
      <c r="F35" s="3" t="s">
        <v>148</v>
      </c>
      <c r="G35" s="3" t="s">
        <v>149</v>
      </c>
      <c r="H35" s="2" t="s">
        <v>21</v>
      </c>
      <c r="I35" s="2" t="s">
        <v>150</v>
      </c>
      <c r="J35" s="3" t="str">
        <f>HYPERLINK("https://www.boe.es/gazeta/dias/1817/11/27/pdfs/GMD-1817-142.pdf#page=8","Abrir facsímil")</f>
        <v>Abrir facsímil</v>
      </c>
      <c r="K35" s="3" t="s">
        <v>23</v>
      </c>
    </row>
    <row r="36" spans="1:11" ht="42" customHeight="1">
      <c r="A36" s="2" t="s">
        <v>151</v>
      </c>
      <c r="B36" s="2" t="s">
        <v>152</v>
      </c>
      <c r="C36" s="2" t="s">
        <v>36</v>
      </c>
      <c r="D36" s="2" t="s">
        <v>37</v>
      </c>
      <c r="E36" s="5">
        <v>-30167</v>
      </c>
      <c r="F36" s="3" t="s">
        <v>153</v>
      </c>
      <c r="G36" s="3" t="s">
        <v>20</v>
      </c>
      <c r="H36" s="2" t="s">
        <v>21</v>
      </c>
      <c r="I36" s="2" t="s">
        <v>154</v>
      </c>
      <c r="J36" s="3" t="str">
        <f>HYPERLINK("https://www.boe.es/gazeta/dias/1817/05/27/pdfs/GMD-1817-63.pdf#page=7","Abrir facsímil")</f>
        <v>Abrir facsímil</v>
      </c>
      <c r="K36" s="3" t="s">
        <v>23</v>
      </c>
    </row>
    <row r="37" spans="1:11" ht="42" customHeight="1">
      <c r="A37" s="2" t="s">
        <v>155</v>
      </c>
      <c r="B37" s="2" t="s">
        <v>155</v>
      </c>
      <c r="C37" s="2" t="s">
        <v>36</v>
      </c>
      <c r="D37" s="2" t="s">
        <v>37</v>
      </c>
      <c r="E37" s="5">
        <v>-30097</v>
      </c>
      <c r="F37" s="3" t="s">
        <v>156</v>
      </c>
      <c r="G37" s="3" t="s">
        <v>157</v>
      </c>
      <c r="H37" s="2" t="s">
        <v>21</v>
      </c>
      <c r="I37" s="2" t="s">
        <v>158</v>
      </c>
      <c r="J37" s="3" t="str">
        <f>HYPERLINK("https://www.boe.es/gazeta/dias/1817/08/05/pdfs/GMD-1817-93.pdf#page=5","Abrir facsímil")</f>
        <v>Abrir facsímil</v>
      </c>
      <c r="K37" s="3" t="s">
        <v>23</v>
      </c>
    </row>
    <row r="38" spans="1:11" ht="42" customHeight="1">
      <c r="A38" s="2" t="s">
        <v>159</v>
      </c>
      <c r="B38" s="2" t="s">
        <v>160</v>
      </c>
      <c r="C38" s="2" t="s">
        <v>36</v>
      </c>
      <c r="D38" s="2" t="s">
        <v>37</v>
      </c>
      <c r="E38" s="5">
        <v>-30097</v>
      </c>
      <c r="F38" s="3" t="s">
        <v>156</v>
      </c>
      <c r="G38" s="3" t="s">
        <v>161</v>
      </c>
      <c r="H38" s="2" t="s">
        <v>21</v>
      </c>
      <c r="I38" s="2" t="s">
        <v>162</v>
      </c>
      <c r="J38" s="3" t="str">
        <f>HYPERLINK("https://www.boe.es/gazeta/dias/1817/08/05/pdfs/GMD-1817-93.pdf#page=4","Abrir facsímil")</f>
        <v>Abrir facsímil</v>
      </c>
      <c r="K38" s="3" t="s">
        <v>23</v>
      </c>
    </row>
    <row r="39" spans="1:11" ht="42" customHeight="1">
      <c r="A39" s="2" t="s">
        <v>163</v>
      </c>
      <c r="B39" s="2" t="s">
        <v>163</v>
      </c>
      <c r="C39" s="2" t="s">
        <v>17</v>
      </c>
      <c r="D39" s="2" t="s">
        <v>18</v>
      </c>
      <c r="E39" s="5">
        <v>-30300</v>
      </c>
      <c r="F39" s="3" t="s">
        <v>164</v>
      </c>
      <c r="G39" s="3" t="s">
        <v>57</v>
      </c>
      <c r="H39" s="2" t="s">
        <v>21</v>
      </c>
      <c r="I39" s="2" t="s">
        <v>165</v>
      </c>
      <c r="J39" s="3" t="str">
        <f>HYPERLINK("https://www.boe.es/gazeta/dias/1817/01/14/pdfs/GMD-1817-6.pdf#page=6","Abrir facsímil")</f>
        <v>Abrir facsímil</v>
      </c>
      <c r="K39" s="3" t="s">
        <v>23</v>
      </c>
    </row>
    <row r="40" spans="1:11" ht="42" customHeight="1">
      <c r="A40" s="2" t="s">
        <v>163</v>
      </c>
      <c r="B40" s="2" t="s">
        <v>163</v>
      </c>
      <c r="C40" s="2" t="s">
        <v>36</v>
      </c>
      <c r="D40" s="2" t="s">
        <v>37</v>
      </c>
      <c r="E40" s="5">
        <v>-30163</v>
      </c>
      <c r="F40" s="3" t="s">
        <v>166</v>
      </c>
      <c r="G40" s="3" t="s">
        <v>57</v>
      </c>
      <c r="H40" s="2" t="s">
        <v>21</v>
      </c>
      <c r="I40" s="2" t="s">
        <v>167</v>
      </c>
      <c r="J40" s="3" t="str">
        <f>HYPERLINK("https://www.boe.es/gazeta/dias/1817/05/31/pdfs/GMD-1817-65.pdf#page=6","Abrir facsímil")</f>
        <v>Abrir facsímil</v>
      </c>
      <c r="K40" s="3" t="s">
        <v>23</v>
      </c>
    </row>
    <row r="41" spans="1:11" ht="42" customHeight="1">
      <c r="A41" s="2" t="s">
        <v>168</v>
      </c>
      <c r="B41" s="2" t="s">
        <v>169</v>
      </c>
      <c r="C41" s="2" t="s">
        <v>36</v>
      </c>
      <c r="D41" s="2" t="s">
        <v>37</v>
      </c>
      <c r="E41" s="5">
        <v>-29981</v>
      </c>
      <c r="F41" s="3" t="s">
        <v>111</v>
      </c>
      <c r="G41" s="3" t="s">
        <v>20</v>
      </c>
      <c r="H41" s="2" t="s">
        <v>21</v>
      </c>
      <c r="I41" s="2" t="s">
        <v>170</v>
      </c>
      <c r="J41" s="3" t="str">
        <f>HYPERLINK("https://www.boe.es/gazeta/dias/1817/11/29/pdfs/GMD-1817-143.pdf#page=7","Abrir facsímil")</f>
        <v>Abrir facsímil</v>
      </c>
      <c r="K41" s="3" t="s">
        <v>23</v>
      </c>
    </row>
    <row r="42" spans="1:11" ht="42" customHeight="1">
      <c r="A42" s="2" t="s">
        <v>171</v>
      </c>
      <c r="B42" s="2" t="s">
        <v>172</v>
      </c>
      <c r="C42" s="2" t="s">
        <v>43</v>
      </c>
      <c r="D42" s="2" t="s">
        <v>44</v>
      </c>
      <c r="E42" s="5">
        <v>-30027</v>
      </c>
      <c r="F42" s="3" t="s">
        <v>173</v>
      </c>
      <c r="G42" s="3" t="s">
        <v>77</v>
      </c>
      <c r="H42" s="2" t="s">
        <v>21</v>
      </c>
      <c r="I42" s="2" t="s">
        <v>174</v>
      </c>
      <c r="J42" s="3" t="str">
        <f>HYPERLINK("https://www.boe.es/gazeta/dias/1817/10/14/pdfs/GMD-1817-123.pdf#page=8","Abrir facsímil")</f>
        <v>Abrir facsímil</v>
      </c>
      <c r="K42" s="3" t="s">
        <v>23</v>
      </c>
    </row>
    <row r="43" spans="1:11" ht="42" customHeight="1">
      <c r="A43" s="2" t="s">
        <v>175</v>
      </c>
      <c r="B43" s="2" t="s">
        <v>176</v>
      </c>
      <c r="C43" s="2" t="s">
        <v>36</v>
      </c>
      <c r="D43" s="2" t="s">
        <v>37</v>
      </c>
      <c r="E43" s="5">
        <v>-30188</v>
      </c>
      <c r="F43" s="3" t="s">
        <v>177</v>
      </c>
      <c r="G43" s="3" t="s">
        <v>39</v>
      </c>
      <c r="H43" s="2" t="s">
        <v>27</v>
      </c>
      <c r="I43" s="2" t="s">
        <v>178</v>
      </c>
      <c r="J43" s="3" t="str">
        <f>HYPERLINK("https://www.boe.es/gazeta/dias/1817/05/06/pdfs/GMD-1817-54.pdf#page=5","Abrir facsímil")</f>
        <v>Abrir facsímil</v>
      </c>
      <c r="K43" s="3" t="s">
        <v>29</v>
      </c>
    </row>
    <row r="44" spans="1:11" ht="42" customHeight="1">
      <c r="A44" s="2" t="s">
        <v>175</v>
      </c>
      <c r="B44" s="2" t="s">
        <v>176</v>
      </c>
      <c r="C44" s="2" t="s">
        <v>36</v>
      </c>
      <c r="D44" s="2" t="s">
        <v>37</v>
      </c>
      <c r="E44" s="5">
        <v>-30163</v>
      </c>
      <c r="F44" s="3" t="s">
        <v>166</v>
      </c>
      <c r="G44" s="3" t="s">
        <v>144</v>
      </c>
      <c r="H44" s="2" t="s">
        <v>27</v>
      </c>
      <c r="I44" s="2" t="s">
        <v>179</v>
      </c>
      <c r="J44" s="3" t="str">
        <f>HYPERLINK("https://www.boe.es/gazeta/dias/1817/05/31/pdfs/GMD-1817-65.pdf#page=4","Abrir facsímil")</f>
        <v>Abrir facsímil</v>
      </c>
      <c r="K44" s="3" t="s">
        <v>29</v>
      </c>
    </row>
    <row r="45" spans="1:11" ht="42" customHeight="1">
      <c r="A45" s="2" t="s">
        <v>175</v>
      </c>
      <c r="B45" s="2" t="s">
        <v>176</v>
      </c>
      <c r="C45" s="2" t="s">
        <v>36</v>
      </c>
      <c r="D45" s="2" t="s">
        <v>37</v>
      </c>
      <c r="E45" s="5">
        <v>-29981</v>
      </c>
      <c r="F45" s="3" t="s">
        <v>111</v>
      </c>
      <c r="G45" s="3" t="s">
        <v>39</v>
      </c>
      <c r="H45" s="2" t="s">
        <v>27</v>
      </c>
      <c r="I45" s="2" t="s">
        <v>180</v>
      </c>
      <c r="J45" s="3" t="str">
        <f>HYPERLINK("https://www.boe.es/gazeta/dias/1817/11/29/pdfs/GMD-1817-143.pdf#page=5","Abrir facsímil")</f>
        <v>Abrir facsímil</v>
      </c>
      <c r="K45" s="3" t="s">
        <v>29</v>
      </c>
    </row>
    <row r="46" spans="1:11" ht="42" customHeight="1">
      <c r="A46" s="2" t="s">
        <v>175</v>
      </c>
      <c r="B46" s="2" t="s">
        <v>176</v>
      </c>
      <c r="C46" s="2" t="s">
        <v>36</v>
      </c>
      <c r="D46" s="2" t="s">
        <v>37</v>
      </c>
      <c r="E46" s="5">
        <v>-29981</v>
      </c>
      <c r="F46" s="3" t="s">
        <v>111</v>
      </c>
      <c r="G46" s="3" t="s">
        <v>20</v>
      </c>
      <c r="H46" s="2" t="s">
        <v>27</v>
      </c>
      <c r="I46" s="2" t="s">
        <v>181</v>
      </c>
      <c r="J46" s="3" t="str">
        <f>HYPERLINK("https://www.boe.es/gazeta/dias/1817/11/29/pdfs/GMD-1817-143.pdf#page=7","Abrir facsímil")</f>
        <v>Abrir facsímil</v>
      </c>
      <c r="K46" s="3" t="s">
        <v>29</v>
      </c>
    </row>
    <row r="47" spans="1:11" ht="42" customHeight="1">
      <c r="A47" s="2" t="s">
        <v>182</v>
      </c>
      <c r="B47" s="2" t="s">
        <v>182</v>
      </c>
      <c r="C47" s="2" t="s">
        <v>36</v>
      </c>
      <c r="D47" s="2" t="s">
        <v>37</v>
      </c>
      <c r="E47" s="5">
        <v>-29967</v>
      </c>
      <c r="F47" s="3" t="s">
        <v>183</v>
      </c>
      <c r="G47" s="3" t="s">
        <v>77</v>
      </c>
      <c r="H47" s="2" t="s">
        <v>21</v>
      </c>
      <c r="I47" s="2" t="s">
        <v>184</v>
      </c>
      <c r="J47" s="3" t="str">
        <f>HYPERLINK("https://www.boe.es/gazeta/dias/1817/12/13/pdfs/GMD-1817-149.pdf#page=8","Abrir facsímil")</f>
        <v>Abrir facsímil</v>
      </c>
      <c r="K47" s="3" t="s">
        <v>23</v>
      </c>
    </row>
    <row r="48" spans="1:11" ht="42" customHeight="1">
      <c r="A48" s="2" t="s">
        <v>182</v>
      </c>
      <c r="B48" s="2" t="s">
        <v>182</v>
      </c>
      <c r="C48" s="2" t="s">
        <v>36</v>
      </c>
      <c r="D48" s="2" t="s">
        <v>37</v>
      </c>
      <c r="E48" s="5">
        <v>-29950</v>
      </c>
      <c r="F48" s="3" t="s">
        <v>185</v>
      </c>
      <c r="G48" s="3" t="s">
        <v>39</v>
      </c>
      <c r="H48" s="2" t="s">
        <v>21</v>
      </c>
      <c r="I48" s="2" t="s">
        <v>186</v>
      </c>
      <c r="J48" s="3" t="str">
        <f>HYPERLINK("https://www.boe.es/gazeta/dias/1817/12/30/pdfs/GMD-1817-156.pdf#page=5","Abrir facsímil")</f>
        <v>Abrir facsímil</v>
      </c>
      <c r="K48" s="3" t="s">
        <v>23</v>
      </c>
    </row>
    <row r="49" spans="1:11" ht="42" customHeight="1">
      <c r="A49" s="2" t="s">
        <v>187</v>
      </c>
      <c r="B49" s="2" t="s">
        <v>188</v>
      </c>
      <c r="C49" s="2" t="s">
        <v>36</v>
      </c>
      <c r="D49" s="2" t="s">
        <v>37</v>
      </c>
      <c r="E49" s="5">
        <v>-30230</v>
      </c>
      <c r="F49" s="3" t="s">
        <v>189</v>
      </c>
      <c r="G49" s="3" t="s">
        <v>20</v>
      </c>
      <c r="H49" s="2" t="s">
        <v>21</v>
      </c>
      <c r="I49" s="2" t="s">
        <v>190</v>
      </c>
      <c r="J49" s="3" t="str">
        <f>HYPERLINK("https://www.boe.es/gazeta/dias/1817/03/25/pdfs/GMD-1817-36.pdf#page=7","Abrir facsímil")</f>
        <v>Abrir facsímil</v>
      </c>
      <c r="K49" s="3" t="s">
        <v>23</v>
      </c>
    </row>
    <row r="50" spans="1:11" ht="42" customHeight="1">
      <c r="A50" s="2" t="s">
        <v>191</v>
      </c>
      <c r="B50" s="2" t="s">
        <v>192</v>
      </c>
      <c r="C50" s="2" t="s">
        <v>36</v>
      </c>
      <c r="D50" s="2" t="s">
        <v>37</v>
      </c>
      <c r="E50" s="5">
        <v>-30289</v>
      </c>
      <c r="F50" s="3" t="s">
        <v>193</v>
      </c>
      <c r="G50" s="3" t="s">
        <v>194</v>
      </c>
      <c r="H50" s="2" t="s">
        <v>21</v>
      </c>
      <c r="I50" s="2" t="s">
        <v>195</v>
      </c>
      <c r="J50" s="3" t="str">
        <f>HYPERLINK("https://www.boe.es/gazeta/dias/1817/01/25/pdfs/GMD-1817-11.pdf#page=3","Abrir facsímil")</f>
        <v>Abrir facsímil</v>
      </c>
      <c r="K50" s="3" t="s">
        <v>23</v>
      </c>
    </row>
    <row r="51" spans="1:11" ht="42" customHeight="1">
      <c r="A51" s="2" t="s">
        <v>196</v>
      </c>
      <c r="B51" s="2" t="s">
        <v>197</v>
      </c>
      <c r="C51" s="2" t="s">
        <v>17</v>
      </c>
      <c r="D51" s="2" t="s">
        <v>18</v>
      </c>
      <c r="E51" s="5">
        <v>-30205</v>
      </c>
      <c r="F51" s="3" t="s">
        <v>139</v>
      </c>
      <c r="G51" s="3" t="s">
        <v>77</v>
      </c>
      <c r="H51" s="2" t="s">
        <v>21</v>
      </c>
      <c r="I51" s="2" t="s">
        <v>198</v>
      </c>
      <c r="J51" s="3" t="str">
        <f>HYPERLINK("https://www.boe.es/gazeta/dias/1817/04/19/pdfs/GMD-1817-47.pdf#page=8","Abrir facsímil")</f>
        <v>Abrir facsímil</v>
      </c>
      <c r="K51" s="3" t="s">
        <v>23</v>
      </c>
    </row>
    <row r="52" spans="1:11" ht="42" customHeight="1">
      <c r="A52" s="2" t="s">
        <v>199</v>
      </c>
      <c r="B52" s="2" t="s">
        <v>200</v>
      </c>
      <c r="C52" s="2" t="s">
        <v>36</v>
      </c>
      <c r="D52" s="2" t="s">
        <v>37</v>
      </c>
      <c r="E52" s="5">
        <v>-30065</v>
      </c>
      <c r="F52" s="3" t="s">
        <v>201</v>
      </c>
      <c r="G52" s="3" t="s">
        <v>20</v>
      </c>
      <c r="H52" s="2" t="s">
        <v>21</v>
      </c>
      <c r="I52" s="2" t="s">
        <v>202</v>
      </c>
      <c r="J52" s="3" t="str">
        <f>HYPERLINK("https://www.boe.es/gazeta/dias/1817/09/06/pdfs/GMD-1817-107.pdf#page=7","Abrir facsímil")</f>
        <v>Abrir facsímil</v>
      </c>
      <c r="K52" s="3" t="s">
        <v>23</v>
      </c>
    </row>
    <row r="53" spans="1:11" ht="42" customHeight="1">
      <c r="A53" s="2" t="s">
        <v>203</v>
      </c>
      <c r="B53" s="2" t="s">
        <v>204</v>
      </c>
      <c r="C53" s="2" t="s">
        <v>17</v>
      </c>
      <c r="D53" s="2" t="s">
        <v>18</v>
      </c>
      <c r="E53" s="5">
        <v>-30109</v>
      </c>
      <c r="F53" s="3" t="s">
        <v>205</v>
      </c>
      <c r="G53" s="3" t="s">
        <v>206</v>
      </c>
      <c r="H53" s="2" t="s">
        <v>21</v>
      </c>
      <c r="I53" s="2" t="s">
        <v>207</v>
      </c>
      <c r="J53" s="3" t="str">
        <f>HYPERLINK("https://www.boe.es/gazeta/dias/1817/07/24/pdfs/GMD-1817-88.pdf#page=16","Abrir facsímil")</f>
        <v>Abrir facsímil</v>
      </c>
      <c r="K53" s="3" t="s">
        <v>23</v>
      </c>
    </row>
    <row r="54" spans="1:11" ht="42" customHeight="1">
      <c r="A54" s="2" t="s">
        <v>208</v>
      </c>
      <c r="B54" s="2" t="s">
        <v>209</v>
      </c>
      <c r="C54" s="2" t="s">
        <v>17</v>
      </c>
      <c r="D54" s="2" t="s">
        <v>18</v>
      </c>
      <c r="E54" s="5">
        <v>-30006</v>
      </c>
      <c r="F54" s="3" t="s">
        <v>210</v>
      </c>
      <c r="G54" s="3" t="s">
        <v>77</v>
      </c>
      <c r="H54" s="2" t="s">
        <v>21</v>
      </c>
      <c r="I54" s="2" t="s">
        <v>211</v>
      </c>
      <c r="J54" s="3" t="str">
        <f>HYPERLINK("https://www.boe.es/gazeta/dias/1817/11/04/pdfs/GMD-1817-132.pdf#page=8","Abrir facsímil")</f>
        <v>Abrir facsímil</v>
      </c>
      <c r="K54" s="3" t="s">
        <v>23</v>
      </c>
    </row>
    <row r="55" spans="1:11" ht="42" customHeight="1">
      <c r="A55" s="2" t="s">
        <v>212</v>
      </c>
      <c r="B55" s="2" t="s">
        <v>213</v>
      </c>
      <c r="C55" s="2" t="s">
        <v>36</v>
      </c>
      <c r="D55" s="2" t="s">
        <v>37</v>
      </c>
      <c r="E55" s="5">
        <v>-30046</v>
      </c>
      <c r="F55" s="3" t="s">
        <v>214</v>
      </c>
      <c r="G55" s="3" t="s">
        <v>112</v>
      </c>
      <c r="H55" s="2" t="s">
        <v>21</v>
      </c>
      <c r="I55" s="2" t="s">
        <v>215</v>
      </c>
      <c r="J55" s="3" t="str">
        <f>HYPERLINK("https://www.boe.es/gazeta/dias/1817/09/25/pdfs/GMD-1817-115.pdf#page=11","Abrir facsímil")</f>
        <v>Abrir facsímil</v>
      </c>
      <c r="K55" s="3" t="s">
        <v>23</v>
      </c>
    </row>
    <row r="56" spans="1:11" ht="42" customHeight="1">
      <c r="A56" s="2" t="s">
        <v>216</v>
      </c>
      <c r="B56" s="2" t="s">
        <v>217</v>
      </c>
      <c r="C56" s="2" t="s">
        <v>36</v>
      </c>
      <c r="D56" s="2" t="s">
        <v>37</v>
      </c>
      <c r="E56" s="5">
        <v>-30230</v>
      </c>
      <c r="F56" s="3" t="s">
        <v>189</v>
      </c>
      <c r="G56" s="3" t="s">
        <v>77</v>
      </c>
      <c r="H56" s="2" t="s">
        <v>21</v>
      </c>
      <c r="I56" s="2" t="s">
        <v>218</v>
      </c>
      <c r="J56" s="3" t="str">
        <f>HYPERLINK("https://www.boe.es/gazeta/dias/1817/03/25/pdfs/GMD-1817-36.pdf#page=8","Abrir facsímil")</f>
        <v>Abrir facsímil</v>
      </c>
      <c r="K56" s="3" t="s">
        <v>23</v>
      </c>
    </row>
    <row r="57" spans="1:11" ht="42" customHeight="1">
      <c r="A57" s="2" t="s">
        <v>219</v>
      </c>
      <c r="B57" s="2" t="s">
        <v>220</v>
      </c>
      <c r="C57" s="2" t="s">
        <v>17</v>
      </c>
      <c r="D57" s="2" t="s">
        <v>18</v>
      </c>
      <c r="E57" s="5">
        <v>-30086</v>
      </c>
      <c r="F57" s="3" t="s">
        <v>221</v>
      </c>
      <c r="G57" s="3" t="s">
        <v>222</v>
      </c>
      <c r="H57" s="2" t="s">
        <v>21</v>
      </c>
      <c r="I57" s="2" t="s">
        <v>223</v>
      </c>
      <c r="J57" s="3" t="str">
        <f>HYPERLINK("https://www.boe.es/gazeta/dias/1817/08/16/pdfs/GMD-1817-98.pdf#page=8","Abrir facsímil")</f>
        <v>Abrir facsímil</v>
      </c>
      <c r="K57" s="3" t="s">
        <v>23</v>
      </c>
    </row>
    <row r="58" spans="1:11" ht="42" customHeight="1">
      <c r="A58" s="2" t="s">
        <v>224</v>
      </c>
      <c r="B58" s="2" t="s">
        <v>225</v>
      </c>
      <c r="C58" s="2" t="s">
        <v>17</v>
      </c>
      <c r="D58" s="2" t="s">
        <v>18</v>
      </c>
      <c r="E58" s="5">
        <v>-30261</v>
      </c>
      <c r="F58" s="3" t="s">
        <v>226</v>
      </c>
      <c r="G58" s="3" t="s">
        <v>20</v>
      </c>
      <c r="H58" s="2" t="s">
        <v>21</v>
      </c>
      <c r="I58" s="2" t="s">
        <v>227</v>
      </c>
      <c r="J58" s="3" t="str">
        <f>HYPERLINK("https://www.boe.es/gazeta/dias/1817/02/22/pdfs/GMD-1817-23.pdf#page=7","Abrir facsímil")</f>
        <v>Abrir facsímil</v>
      </c>
      <c r="K58" s="3" t="s">
        <v>23</v>
      </c>
    </row>
    <row r="59" spans="1:11" ht="42" customHeight="1">
      <c r="A59" s="2" t="s">
        <v>228</v>
      </c>
      <c r="B59" s="2" t="s">
        <v>229</v>
      </c>
      <c r="C59" s="2" t="s">
        <v>138</v>
      </c>
      <c r="D59" s="2" t="s">
        <v>44</v>
      </c>
      <c r="E59" s="5">
        <v>-30093</v>
      </c>
      <c r="F59" s="3" t="s">
        <v>230</v>
      </c>
      <c r="G59" s="3" t="s">
        <v>20</v>
      </c>
      <c r="H59" s="2" t="s">
        <v>21</v>
      </c>
      <c r="I59" s="2" t="s">
        <v>231</v>
      </c>
      <c r="J59" s="3" t="str">
        <f>HYPERLINK("https://www.boe.es/gazeta/dias/1817/08/09/pdfs/GMD-1817-95.pdf#page=7","Abrir facsímil")</f>
        <v>Abrir facsímil</v>
      </c>
      <c r="K59" s="3" t="s">
        <v>23</v>
      </c>
    </row>
    <row r="60" spans="1:11" ht="42" customHeight="1">
      <c r="A60" s="2" t="s">
        <v>232</v>
      </c>
      <c r="B60" s="2" t="s">
        <v>233</v>
      </c>
      <c r="C60" s="2" t="s">
        <v>36</v>
      </c>
      <c r="D60" s="2" t="s">
        <v>37</v>
      </c>
      <c r="E60" s="5">
        <v>-30258</v>
      </c>
      <c r="F60" s="3" t="s">
        <v>234</v>
      </c>
      <c r="G60" s="3" t="s">
        <v>144</v>
      </c>
      <c r="H60" s="2" t="s">
        <v>21</v>
      </c>
      <c r="I60" s="2" t="s">
        <v>235</v>
      </c>
      <c r="J60" s="3" t="str">
        <f>HYPERLINK("https://www.boe.es/gazeta/dias/1817/02/25/pdfs/GMD-1817-24.pdf#page=4","Abrir facsímil")</f>
        <v>Abrir facsímil</v>
      </c>
      <c r="K60" s="3" t="s">
        <v>23</v>
      </c>
    </row>
    <row r="61" spans="1:11" ht="42" customHeight="1">
      <c r="A61" s="2" t="s">
        <v>236</v>
      </c>
      <c r="B61" s="2" t="s">
        <v>237</v>
      </c>
      <c r="C61" s="2" t="s">
        <v>17</v>
      </c>
      <c r="D61" s="2" t="s">
        <v>18</v>
      </c>
      <c r="E61" s="5">
        <v>-30205</v>
      </c>
      <c r="F61" s="3" t="s">
        <v>139</v>
      </c>
      <c r="G61" s="3" t="s">
        <v>77</v>
      </c>
      <c r="H61" s="2" t="s">
        <v>21</v>
      </c>
      <c r="I61" s="2" t="s">
        <v>238</v>
      </c>
      <c r="J61" s="3" t="str">
        <f>HYPERLINK("https://www.boe.es/gazeta/dias/1817/04/19/pdfs/GMD-1817-47.pdf#page=8","Abrir facsímil")</f>
        <v>Abrir facsímil</v>
      </c>
      <c r="K61" s="3" t="s">
        <v>23</v>
      </c>
    </row>
    <row r="62" spans="1:11" ht="42" customHeight="1">
      <c r="A62" s="2" t="s">
        <v>236</v>
      </c>
      <c r="B62" s="2" t="s">
        <v>237</v>
      </c>
      <c r="C62" s="2" t="s">
        <v>17</v>
      </c>
      <c r="D62" s="2" t="s">
        <v>18</v>
      </c>
      <c r="E62" s="5">
        <v>-30135</v>
      </c>
      <c r="F62" s="3" t="s">
        <v>239</v>
      </c>
      <c r="G62" s="3" t="s">
        <v>240</v>
      </c>
      <c r="H62" s="2" t="s">
        <v>21</v>
      </c>
      <c r="I62" s="2" t="s">
        <v>241</v>
      </c>
      <c r="J62" s="3" t="str">
        <f>HYPERLINK("https://www.boe.es/gazeta/dias/1817/06/28/pdfs/GMD-1817-77.pdf#page=7","Abrir facsímil")</f>
        <v>Abrir facsímil</v>
      </c>
      <c r="K62" s="3" t="s">
        <v>23</v>
      </c>
    </row>
    <row r="63" spans="1:11" ht="42" customHeight="1">
      <c r="A63" s="2" t="s">
        <v>242</v>
      </c>
      <c r="B63" s="2" t="s">
        <v>243</v>
      </c>
      <c r="C63" s="2" t="s">
        <v>36</v>
      </c>
      <c r="D63" s="2" t="s">
        <v>37</v>
      </c>
      <c r="E63" s="5">
        <v>-30088</v>
      </c>
      <c r="F63" s="3" t="s">
        <v>244</v>
      </c>
      <c r="G63" s="3" t="s">
        <v>245</v>
      </c>
      <c r="H63" s="2" t="s">
        <v>21</v>
      </c>
      <c r="I63" s="2" t="s">
        <v>246</v>
      </c>
      <c r="J63" s="3" t="str">
        <f>HYPERLINK("https://www.boe.es/gazeta/dias/1817/08/14/pdfs/GMD-1817-97.pdf#page=8","Abrir facsímil")</f>
        <v>Abrir facsímil</v>
      </c>
      <c r="K63" s="3" t="s">
        <v>23</v>
      </c>
    </row>
    <row r="64" spans="1:11" ht="42" customHeight="1">
      <c r="A64" s="2" t="s">
        <v>247</v>
      </c>
      <c r="B64" s="2" t="s">
        <v>248</v>
      </c>
      <c r="C64" s="2" t="s">
        <v>43</v>
      </c>
      <c r="D64" s="2" t="s">
        <v>44</v>
      </c>
      <c r="E64" s="5">
        <v>-30307</v>
      </c>
      <c r="F64" s="3" t="s">
        <v>67</v>
      </c>
      <c r="G64" s="3" t="s">
        <v>68</v>
      </c>
      <c r="H64" s="2" t="s">
        <v>27</v>
      </c>
      <c r="I64" s="2" t="s">
        <v>249</v>
      </c>
      <c r="J64" s="3" t="str">
        <f>HYPERLINK("https://www.boe.es/gazeta/dias/1817/01/07/pdfs/GMD-1817-3.pdf#page=8","Abrir facsímil")</f>
        <v>Abrir facsímil</v>
      </c>
      <c r="K64" s="3" t="s">
        <v>29</v>
      </c>
    </row>
    <row r="65" spans="1:11" ht="42" customHeight="1">
      <c r="A65" s="2" t="s">
        <v>250</v>
      </c>
      <c r="B65" s="2" t="s">
        <v>251</v>
      </c>
      <c r="C65" s="2" t="s">
        <v>17</v>
      </c>
      <c r="D65" s="2" t="s">
        <v>18</v>
      </c>
      <c r="E65" s="5">
        <v>-29969</v>
      </c>
      <c r="F65" s="3" t="s">
        <v>252</v>
      </c>
      <c r="G65" s="3" t="s">
        <v>112</v>
      </c>
      <c r="H65" s="2" t="s">
        <v>21</v>
      </c>
      <c r="I65" s="2" t="s">
        <v>253</v>
      </c>
      <c r="J65" s="3" t="str">
        <f>HYPERLINK("https://www.boe.es/gazeta/dias/1817/12/11/pdfs/GMD-1817-148.pdf#page=11","Abrir facsímil")</f>
        <v>Abrir facsímil</v>
      </c>
      <c r="K65" s="3" t="s">
        <v>23</v>
      </c>
    </row>
    <row r="66" spans="1:11" ht="42" customHeight="1">
      <c r="A66" s="2" t="s">
        <v>254</v>
      </c>
      <c r="B66" s="2" t="s">
        <v>255</v>
      </c>
      <c r="C66" s="2" t="s">
        <v>36</v>
      </c>
      <c r="D66" s="2" t="s">
        <v>37</v>
      </c>
      <c r="E66" s="5">
        <v>-30221</v>
      </c>
      <c r="F66" s="3" t="s">
        <v>256</v>
      </c>
      <c r="G66" s="3" t="s">
        <v>20</v>
      </c>
      <c r="H66" s="2" t="s">
        <v>21</v>
      </c>
      <c r="I66" s="2" t="s">
        <v>257</v>
      </c>
      <c r="J66" s="3" t="str">
        <f>HYPERLINK("https://www.boe.es/gazeta/dias/1817/04/03/pdfs/GMD-1817-40.pdf#page=7","Abrir facsímil")</f>
        <v>Abrir facsímil</v>
      </c>
      <c r="K66" s="3" t="s">
        <v>23</v>
      </c>
    </row>
    <row r="67" spans="1:11" ht="42" customHeight="1">
      <c r="A67" s="2" t="s">
        <v>258</v>
      </c>
      <c r="B67" s="2" t="s">
        <v>259</v>
      </c>
      <c r="C67" s="2" t="s">
        <v>36</v>
      </c>
      <c r="D67" s="2" t="s">
        <v>37</v>
      </c>
      <c r="E67" s="5">
        <v>-30041</v>
      </c>
      <c r="F67" s="3" t="s">
        <v>260</v>
      </c>
      <c r="G67" s="3" t="s">
        <v>77</v>
      </c>
      <c r="H67" s="2" t="s">
        <v>27</v>
      </c>
      <c r="I67" s="2" t="s">
        <v>261</v>
      </c>
      <c r="J67" s="3" t="str">
        <f>HYPERLINK("https://www.boe.es/gazeta/dias/1817/09/30/pdfs/GMD-1817-117.pdf#page=8","Abrir facsímil")</f>
        <v>Abrir facsímil</v>
      </c>
      <c r="K67" s="3" t="s">
        <v>29</v>
      </c>
    </row>
    <row r="68" spans="1:11" ht="42" customHeight="1">
      <c r="A68" s="2" t="s">
        <v>262</v>
      </c>
      <c r="B68" s="2" t="s">
        <v>263</v>
      </c>
      <c r="C68" s="2" t="s">
        <v>36</v>
      </c>
      <c r="D68" s="2" t="s">
        <v>37</v>
      </c>
      <c r="E68" s="5">
        <v>-30065</v>
      </c>
      <c r="F68" s="3" t="s">
        <v>201</v>
      </c>
      <c r="G68" s="3" t="s">
        <v>20</v>
      </c>
      <c r="H68" s="2" t="s">
        <v>21</v>
      </c>
      <c r="I68" s="2" t="s">
        <v>264</v>
      </c>
      <c r="J68" s="3" t="str">
        <f>HYPERLINK("https://www.boe.es/gazeta/dias/1817/09/06/pdfs/GMD-1817-107.pdf#page=7","Abrir facsímil")</f>
        <v>Abrir facsímil</v>
      </c>
      <c r="K68" s="3" t="s">
        <v>23</v>
      </c>
    </row>
    <row r="69" spans="1:11" ht="42" customHeight="1">
      <c r="A69" s="2" t="s">
        <v>265</v>
      </c>
      <c r="B69" s="2" t="s">
        <v>266</v>
      </c>
      <c r="C69" s="2" t="s">
        <v>43</v>
      </c>
      <c r="D69" s="2" t="s">
        <v>44</v>
      </c>
      <c r="E69" s="5">
        <v>-30055</v>
      </c>
      <c r="F69" s="3" t="s">
        <v>71</v>
      </c>
      <c r="G69" s="3" t="s">
        <v>82</v>
      </c>
      <c r="H69" s="2" t="s">
        <v>21</v>
      </c>
      <c r="I69" s="2" t="s">
        <v>267</v>
      </c>
      <c r="J69" s="3" t="str">
        <f>HYPERLINK("https://www.boe.es/gazeta/dias/1817/09/16/pdfs/GMD-1817-111.pdf#page=12","Abrir facsímil")</f>
        <v>Abrir facsímil</v>
      </c>
      <c r="K69" s="3" t="s">
        <v>23</v>
      </c>
    </row>
    <row r="70" spans="1:11" ht="42" customHeight="1">
      <c r="A70" s="2" t="s">
        <v>268</v>
      </c>
      <c r="B70" s="2" t="s">
        <v>269</v>
      </c>
      <c r="C70" s="2" t="s">
        <v>55</v>
      </c>
      <c r="D70" s="2" t="s">
        <v>44</v>
      </c>
      <c r="E70" s="5">
        <v>-30034</v>
      </c>
      <c r="F70" s="3" t="s">
        <v>270</v>
      </c>
      <c r="G70" s="3" t="s">
        <v>271</v>
      </c>
      <c r="H70" s="2" t="s">
        <v>27</v>
      </c>
      <c r="I70" s="2" t="s">
        <v>272</v>
      </c>
      <c r="J70" s="3" t="str">
        <f>HYPERLINK("https://www.boe.es/gazeta/dias/1817/10/07/pdfs/GMD-1817-120.pdf#page=8","Abrir facsímil")</f>
        <v>Abrir facsímil</v>
      </c>
      <c r="K70" s="3" t="s">
        <v>29</v>
      </c>
    </row>
    <row r="71" spans="1:11" ht="42" customHeight="1">
      <c r="A71" s="2" t="s">
        <v>273</v>
      </c>
      <c r="B71" s="2" t="s">
        <v>274</v>
      </c>
      <c r="C71" s="2" t="s">
        <v>36</v>
      </c>
      <c r="D71" s="2" t="s">
        <v>37</v>
      </c>
      <c r="E71" s="5">
        <v>-30046</v>
      </c>
      <c r="F71" s="3" t="s">
        <v>214</v>
      </c>
      <c r="G71" s="3" t="s">
        <v>275</v>
      </c>
      <c r="H71" s="2" t="s">
        <v>21</v>
      </c>
      <c r="I71" s="2" t="s">
        <v>276</v>
      </c>
      <c r="J71" s="3" t="str">
        <f>HYPERLINK("https://www.boe.es/gazeta/dias/1817/09/25/pdfs/GMD-1817-115.pdf#page=12","Abrir facsímil")</f>
        <v>Abrir facsímil</v>
      </c>
      <c r="K71" s="3" t="s">
        <v>23</v>
      </c>
    </row>
    <row r="72" spans="1:11" ht="42" customHeight="1">
      <c r="A72" s="2" t="s">
        <v>277</v>
      </c>
      <c r="B72" s="2" t="s">
        <v>278</v>
      </c>
      <c r="C72" s="2" t="s">
        <v>49</v>
      </c>
      <c r="D72" s="2" t="s">
        <v>44</v>
      </c>
      <c r="E72" s="5">
        <v>-30307</v>
      </c>
      <c r="F72" s="3" t="s">
        <v>67</v>
      </c>
      <c r="G72" s="3" t="s">
        <v>68</v>
      </c>
      <c r="H72" s="2" t="s">
        <v>21</v>
      </c>
      <c r="I72" s="2" t="s">
        <v>279</v>
      </c>
      <c r="J72" s="3" t="str">
        <f>HYPERLINK("https://www.boe.es/gazeta/dias/1817/01/07/pdfs/GMD-1817-3.pdf#page=8","Abrir facsímil")</f>
        <v>Abrir facsímil</v>
      </c>
      <c r="K72" s="3" t="s">
        <v>23</v>
      </c>
    </row>
    <row r="73" spans="1:11" ht="42" customHeight="1">
      <c r="A73" s="2" t="s">
        <v>280</v>
      </c>
      <c r="B73" s="2" t="s">
        <v>281</v>
      </c>
      <c r="C73" s="2" t="s">
        <v>36</v>
      </c>
      <c r="D73" s="2" t="s">
        <v>37</v>
      </c>
      <c r="E73" s="5">
        <v>-30109</v>
      </c>
      <c r="F73" s="3" t="s">
        <v>205</v>
      </c>
      <c r="G73" s="3" t="s">
        <v>282</v>
      </c>
      <c r="H73" s="2" t="s">
        <v>21</v>
      </c>
      <c r="I73" s="2" t="s">
        <v>283</v>
      </c>
      <c r="J73" s="3" t="str">
        <f>HYPERLINK("https://www.boe.es/gazeta/dias/1817/07/24/pdfs/GMD-1817-88.pdf#page=15","Abrir facsímil")</f>
        <v>Abrir facsímil</v>
      </c>
      <c r="K73" s="3" t="s">
        <v>23</v>
      </c>
    </row>
    <row r="74" spans="1:11" ht="42" customHeight="1">
      <c r="A74" s="2" t="s">
        <v>284</v>
      </c>
      <c r="B74" s="2" t="s">
        <v>285</v>
      </c>
      <c r="C74" s="2" t="s">
        <v>55</v>
      </c>
      <c r="D74" s="2" t="s">
        <v>44</v>
      </c>
      <c r="E74" s="5">
        <v>-30142</v>
      </c>
      <c r="F74" s="3" t="s">
        <v>286</v>
      </c>
      <c r="G74" s="3" t="s">
        <v>144</v>
      </c>
      <c r="H74" s="2" t="s">
        <v>21</v>
      </c>
      <c r="I74" s="2" t="s">
        <v>287</v>
      </c>
      <c r="J74" s="3" t="str">
        <f>HYPERLINK("https://www.boe.es/gazeta/dias/1817/06/21/pdfs/GMD-1817-74.pdf#page=4","Abrir facsímil")</f>
        <v>Abrir facsímil</v>
      </c>
      <c r="K74" s="3" t="s">
        <v>23</v>
      </c>
    </row>
    <row r="75" spans="1:11" ht="42" customHeight="1">
      <c r="A75" s="2" t="s">
        <v>288</v>
      </c>
      <c r="B75" s="2" t="s">
        <v>289</v>
      </c>
      <c r="C75" s="2" t="s">
        <v>17</v>
      </c>
      <c r="D75" s="2" t="s">
        <v>18</v>
      </c>
      <c r="E75" s="5">
        <v>-30053</v>
      </c>
      <c r="F75" s="3" t="s">
        <v>129</v>
      </c>
      <c r="G75" s="3" t="s">
        <v>82</v>
      </c>
      <c r="H75" s="2" t="s">
        <v>21</v>
      </c>
      <c r="I75" s="2" t="s">
        <v>290</v>
      </c>
      <c r="J75" s="3" t="str">
        <f>HYPERLINK("https://www.boe.es/gazeta/dias/1817/09/18/pdfs/GMD-1817-112.pdf#page=12","Abrir facsímil")</f>
        <v>Abrir facsímil</v>
      </c>
      <c r="K75" s="3" t="s">
        <v>23</v>
      </c>
    </row>
    <row r="76" spans="1:11" ht="42" customHeight="1">
      <c r="A76" s="2" t="s">
        <v>288</v>
      </c>
      <c r="B76" s="2" t="s">
        <v>289</v>
      </c>
      <c r="C76" s="2" t="s">
        <v>17</v>
      </c>
      <c r="D76" s="2" t="s">
        <v>18</v>
      </c>
      <c r="E76" s="5">
        <v>-30020</v>
      </c>
      <c r="F76" s="3" t="s">
        <v>291</v>
      </c>
      <c r="G76" s="3" t="s">
        <v>20</v>
      </c>
      <c r="H76" s="2" t="s">
        <v>21</v>
      </c>
      <c r="I76" s="2" t="s">
        <v>292</v>
      </c>
      <c r="J76" s="3" t="str">
        <f>HYPERLINK("https://www.boe.es/gazeta/dias/1817/10/21/pdfs/GMD-1817-126.pdf#page=7","Abrir facsímil")</f>
        <v>Abrir facsímil</v>
      </c>
      <c r="K76" s="3" t="s">
        <v>23</v>
      </c>
    </row>
    <row r="77" spans="1:11" ht="42" customHeight="1">
      <c r="A77" s="2" t="s">
        <v>293</v>
      </c>
      <c r="B77" s="2" t="s">
        <v>294</v>
      </c>
      <c r="C77" s="2" t="s">
        <v>36</v>
      </c>
      <c r="D77" s="2" t="s">
        <v>37</v>
      </c>
      <c r="E77" s="5">
        <v>-30046</v>
      </c>
      <c r="F77" s="3" t="s">
        <v>214</v>
      </c>
      <c r="G77" s="3" t="s">
        <v>275</v>
      </c>
      <c r="H77" s="2" t="s">
        <v>21</v>
      </c>
      <c r="I77" s="2" t="s">
        <v>295</v>
      </c>
      <c r="J77" s="3" t="str">
        <f>HYPERLINK("https://www.boe.es/gazeta/dias/1817/09/25/pdfs/GMD-1817-115.pdf#page=12","Abrir facsímil")</f>
        <v>Abrir facsímil</v>
      </c>
      <c r="K77" s="3" t="s">
        <v>23</v>
      </c>
    </row>
    <row r="78" spans="1:11" ht="42" customHeight="1">
      <c r="A78" s="2" t="s">
        <v>296</v>
      </c>
      <c r="B78" s="2" t="s">
        <v>297</v>
      </c>
      <c r="C78" s="2" t="s">
        <v>17</v>
      </c>
      <c r="D78" s="2" t="s">
        <v>18</v>
      </c>
      <c r="E78" s="5">
        <v>-30265</v>
      </c>
      <c r="F78" s="3" t="s">
        <v>107</v>
      </c>
      <c r="G78" s="3" t="s">
        <v>298</v>
      </c>
      <c r="H78" s="2" t="s">
        <v>21</v>
      </c>
      <c r="I78" s="2" t="s">
        <v>299</v>
      </c>
      <c r="J78" s="3" t="str">
        <f>HYPERLINK("https://www.boe.es/gazeta/dias/1817/02/18/pdfs/GMD-1817-21.pdf#page=6","Abrir facsímil")</f>
        <v>Abrir facsímil</v>
      </c>
      <c r="K78" s="3" t="s">
        <v>23</v>
      </c>
    </row>
    <row r="79" spans="1:11" ht="42" customHeight="1">
      <c r="A79" s="2" t="s">
        <v>300</v>
      </c>
      <c r="B79" s="2" t="s">
        <v>301</v>
      </c>
      <c r="C79" s="2" t="s">
        <v>17</v>
      </c>
      <c r="D79" s="2" t="s">
        <v>18</v>
      </c>
      <c r="E79" s="5">
        <v>-30256</v>
      </c>
      <c r="F79" s="3" t="s">
        <v>302</v>
      </c>
      <c r="G79" s="3" t="s">
        <v>77</v>
      </c>
      <c r="H79" s="2" t="s">
        <v>21</v>
      </c>
      <c r="I79" s="2" t="s">
        <v>303</v>
      </c>
      <c r="J79" s="3" t="str">
        <f>HYPERLINK("https://www.boe.es/gazeta/dias/1817/02/27/pdfs/GMD-1817-25.pdf#page=8","Abrir facsímil")</f>
        <v>Abrir facsímil</v>
      </c>
      <c r="K79" s="3" t="s">
        <v>23</v>
      </c>
    </row>
    <row r="80" spans="1:11" ht="42" customHeight="1">
      <c r="A80" s="2" t="s">
        <v>300</v>
      </c>
      <c r="B80" s="2" t="s">
        <v>301</v>
      </c>
      <c r="C80" s="2" t="s">
        <v>17</v>
      </c>
      <c r="D80" s="2" t="s">
        <v>18</v>
      </c>
      <c r="E80" s="5">
        <v>-30174</v>
      </c>
      <c r="F80" s="3" t="s">
        <v>19</v>
      </c>
      <c r="G80" s="3" t="s">
        <v>20</v>
      </c>
      <c r="H80" s="2" t="s">
        <v>21</v>
      </c>
      <c r="I80" s="2" t="s">
        <v>304</v>
      </c>
      <c r="J80" s="3" t="str">
        <f>HYPERLINK("https://www.boe.es/gazeta/dias/1817/05/20/pdfs/GMD-1817-60.pdf#page=7","Abrir facsímil")</f>
        <v>Abrir facsímil</v>
      </c>
      <c r="K80" s="3" t="s">
        <v>23</v>
      </c>
    </row>
    <row r="81" spans="1:11" ht="42" customHeight="1">
      <c r="A81" s="2" t="s">
        <v>300</v>
      </c>
      <c r="B81" s="2" t="s">
        <v>301</v>
      </c>
      <c r="C81" s="2" t="s">
        <v>17</v>
      </c>
      <c r="D81" s="2" t="s">
        <v>18</v>
      </c>
      <c r="E81" s="5">
        <v>-30158</v>
      </c>
      <c r="F81" s="3" t="s">
        <v>305</v>
      </c>
      <c r="G81" s="3" t="s">
        <v>77</v>
      </c>
      <c r="H81" s="2" t="s">
        <v>21</v>
      </c>
      <c r="I81" s="2" t="s">
        <v>306</v>
      </c>
      <c r="J81" s="3" t="str">
        <f>HYPERLINK("https://www.boe.es/gazeta/dias/1817/06/05/pdfs/GMD-1817-67.pdf#page=8","Abrir facsímil")</f>
        <v>Abrir facsímil</v>
      </c>
      <c r="K81" s="3" t="s">
        <v>23</v>
      </c>
    </row>
    <row r="82" spans="1:11" ht="42" customHeight="1">
      <c r="A82" s="2" t="s">
        <v>300</v>
      </c>
      <c r="B82" s="2" t="s">
        <v>301</v>
      </c>
      <c r="C82" s="2" t="s">
        <v>17</v>
      </c>
      <c r="D82" s="2" t="s">
        <v>18</v>
      </c>
      <c r="E82" s="5">
        <v>-30107</v>
      </c>
      <c r="F82" s="3" t="s">
        <v>307</v>
      </c>
      <c r="G82" s="3" t="s">
        <v>77</v>
      </c>
      <c r="H82" s="2" t="s">
        <v>21</v>
      </c>
      <c r="I82" s="2" t="s">
        <v>308</v>
      </c>
      <c r="J82" s="3" t="str">
        <f>HYPERLINK("https://www.boe.es/gazeta/dias/1817/07/26/pdfs/GMD-1817-89.pdf#page=8","Abrir facsímil")</f>
        <v>Abrir facsímil</v>
      </c>
      <c r="K82" s="3" t="s">
        <v>23</v>
      </c>
    </row>
    <row r="83" spans="1:11" ht="42" customHeight="1">
      <c r="A83" s="2" t="s">
        <v>300</v>
      </c>
      <c r="B83" s="2" t="s">
        <v>301</v>
      </c>
      <c r="C83" s="2" t="s">
        <v>17</v>
      </c>
      <c r="D83" s="2" t="s">
        <v>18</v>
      </c>
      <c r="E83" s="5">
        <v>-30093</v>
      </c>
      <c r="F83" s="3" t="s">
        <v>230</v>
      </c>
      <c r="G83" s="3" t="s">
        <v>77</v>
      </c>
      <c r="H83" s="2" t="s">
        <v>21</v>
      </c>
      <c r="I83" s="2" t="s">
        <v>309</v>
      </c>
      <c r="J83" s="3" t="str">
        <f>HYPERLINK("https://www.boe.es/gazeta/dias/1817/08/09/pdfs/GMD-1817-95.pdf#page=8","Abrir facsímil")</f>
        <v>Abrir facsímil</v>
      </c>
      <c r="K83" s="3" t="s">
        <v>23</v>
      </c>
    </row>
    <row r="84" spans="1:11" ht="42" customHeight="1">
      <c r="A84" s="2" t="s">
        <v>310</v>
      </c>
      <c r="B84" s="2" t="s">
        <v>310</v>
      </c>
      <c r="C84" s="2" t="s">
        <v>36</v>
      </c>
      <c r="D84" s="2" t="s">
        <v>37</v>
      </c>
      <c r="E84" s="5">
        <v>-30109</v>
      </c>
      <c r="F84" s="3" t="s">
        <v>205</v>
      </c>
      <c r="G84" s="3" t="s">
        <v>311</v>
      </c>
      <c r="H84" s="2" t="s">
        <v>21</v>
      </c>
      <c r="I84" s="2" t="s">
        <v>312</v>
      </c>
      <c r="J84" s="3" t="str">
        <f>HYPERLINK("https://www.boe.es/gazeta/dias/1817/07/24/pdfs/GMD-1817-88.pdf#page=12","Abrir facsímil")</f>
        <v>Abrir facsímil</v>
      </c>
      <c r="K84" s="3" t="s">
        <v>23</v>
      </c>
    </row>
    <row r="85" spans="1:11" ht="42" customHeight="1">
      <c r="A85" s="2" t="s">
        <v>310</v>
      </c>
      <c r="B85" s="2" t="s">
        <v>310</v>
      </c>
      <c r="C85" s="2" t="s">
        <v>36</v>
      </c>
      <c r="D85" s="2" t="s">
        <v>37</v>
      </c>
      <c r="E85" s="5">
        <v>-30011</v>
      </c>
      <c r="F85" s="3" t="s">
        <v>313</v>
      </c>
      <c r="G85" s="3" t="s">
        <v>314</v>
      </c>
      <c r="H85" s="2" t="s">
        <v>21</v>
      </c>
      <c r="I85" s="2" t="s">
        <v>315</v>
      </c>
      <c r="J85" s="3" t="str">
        <f>HYPERLINK("https://www.boe.es/gazeta/dias/1817/10/30/pdfs/GMD-1817-130.pdf#page=10","Abrir facsímil")</f>
        <v>Abrir facsímil</v>
      </c>
      <c r="K85" s="3" t="s">
        <v>23</v>
      </c>
    </row>
    <row r="86" spans="1:11" ht="42" customHeight="1">
      <c r="A86" s="2" t="s">
        <v>310</v>
      </c>
      <c r="B86" s="2" t="s">
        <v>310</v>
      </c>
      <c r="C86" s="2" t="s">
        <v>36</v>
      </c>
      <c r="D86" s="2" t="s">
        <v>37</v>
      </c>
      <c r="E86" s="5">
        <v>-30011</v>
      </c>
      <c r="F86" s="3" t="s">
        <v>313</v>
      </c>
      <c r="G86" s="3" t="s">
        <v>57</v>
      </c>
      <c r="H86" s="2" t="s">
        <v>21</v>
      </c>
      <c r="I86" s="2" t="s">
        <v>316</v>
      </c>
      <c r="J86" s="3" t="str">
        <f>HYPERLINK("https://www.boe.es/gazeta/dias/1817/10/30/pdfs/GMD-1817-130.pdf#page=6","Abrir facsímil")</f>
        <v>Abrir facsímil</v>
      </c>
      <c r="K86" s="3" t="s">
        <v>23</v>
      </c>
    </row>
    <row r="87" spans="1:11" ht="42" customHeight="1">
      <c r="A87" s="2" t="s">
        <v>317</v>
      </c>
      <c r="B87" s="2" t="s">
        <v>318</v>
      </c>
      <c r="C87" s="2" t="s">
        <v>36</v>
      </c>
      <c r="D87" s="2" t="s">
        <v>37</v>
      </c>
      <c r="E87" s="5">
        <v>-30116</v>
      </c>
      <c r="F87" s="3" t="s">
        <v>319</v>
      </c>
      <c r="G87" s="3" t="s">
        <v>20</v>
      </c>
      <c r="H87" s="2" t="s">
        <v>21</v>
      </c>
      <c r="I87" s="2" t="s">
        <v>320</v>
      </c>
      <c r="J87" s="3" t="str">
        <f>HYPERLINK("https://www.boe.es/gazeta/dias/1817/07/17/pdfs/GMD-1817-85.pdf#page=7","Abrir facsímil")</f>
        <v>Abrir facsímil</v>
      </c>
      <c r="K87" s="3" t="s">
        <v>23</v>
      </c>
    </row>
    <row r="88" spans="1:11" ht="42" customHeight="1">
      <c r="A88" s="2" t="s">
        <v>317</v>
      </c>
      <c r="B88" s="2" t="s">
        <v>318</v>
      </c>
      <c r="C88" s="2" t="s">
        <v>36</v>
      </c>
      <c r="D88" s="2" t="s">
        <v>37</v>
      </c>
      <c r="E88" s="5">
        <v>-30011</v>
      </c>
      <c r="F88" s="3" t="s">
        <v>313</v>
      </c>
      <c r="G88" s="3" t="s">
        <v>314</v>
      </c>
      <c r="H88" s="2" t="s">
        <v>21</v>
      </c>
      <c r="I88" s="2" t="s">
        <v>321</v>
      </c>
      <c r="J88" s="3" t="str">
        <f>HYPERLINK("https://www.boe.es/gazeta/dias/1817/10/30/pdfs/GMD-1817-130.pdf#page=10","Abrir facsímil")</f>
        <v>Abrir facsímil</v>
      </c>
      <c r="K88" s="3" t="s">
        <v>23</v>
      </c>
    </row>
    <row r="89" spans="1:11" ht="42" customHeight="1">
      <c r="A89" s="2" t="s">
        <v>317</v>
      </c>
      <c r="B89" s="2" t="s">
        <v>318</v>
      </c>
      <c r="C89" s="2" t="s">
        <v>36</v>
      </c>
      <c r="D89" s="2" t="s">
        <v>37</v>
      </c>
      <c r="E89" s="5">
        <v>-30011</v>
      </c>
      <c r="F89" s="3" t="s">
        <v>313</v>
      </c>
      <c r="G89" s="3" t="s">
        <v>57</v>
      </c>
      <c r="H89" s="2" t="s">
        <v>21</v>
      </c>
      <c r="I89" s="2" t="s">
        <v>322</v>
      </c>
      <c r="J89" s="3" t="str">
        <f>HYPERLINK("https://www.boe.es/gazeta/dias/1817/10/30/pdfs/GMD-1817-130.pdf#page=6","Abrir facsímil")</f>
        <v>Abrir facsímil</v>
      </c>
      <c r="K89" s="3" t="s">
        <v>23</v>
      </c>
    </row>
    <row r="90" spans="1:11" ht="42" customHeight="1">
      <c r="A90" s="2" t="s">
        <v>317</v>
      </c>
      <c r="B90" s="2" t="s">
        <v>318</v>
      </c>
      <c r="C90" s="2" t="s">
        <v>36</v>
      </c>
      <c r="D90" s="2" t="s">
        <v>37</v>
      </c>
      <c r="E90" s="5">
        <v>-30006</v>
      </c>
      <c r="F90" s="3" t="s">
        <v>210</v>
      </c>
      <c r="G90" s="3" t="s">
        <v>20</v>
      </c>
      <c r="H90" s="2" t="s">
        <v>21</v>
      </c>
      <c r="I90" s="2" t="s">
        <v>323</v>
      </c>
      <c r="J90" s="3" t="str">
        <f>HYPERLINK("https://www.boe.es/gazeta/dias/1817/11/04/pdfs/GMD-1817-132.pdf#page=7","Abrir facsímil")</f>
        <v>Abrir facsímil</v>
      </c>
      <c r="K90" s="3" t="s">
        <v>23</v>
      </c>
    </row>
    <row r="91" spans="1:11" ht="42" customHeight="1">
      <c r="A91" s="2" t="s">
        <v>324</v>
      </c>
      <c r="B91" s="2" t="s">
        <v>325</v>
      </c>
      <c r="C91" s="2" t="s">
        <v>36</v>
      </c>
      <c r="D91" s="2" t="s">
        <v>37</v>
      </c>
      <c r="E91" s="5">
        <v>-30109</v>
      </c>
      <c r="F91" s="3" t="s">
        <v>205</v>
      </c>
      <c r="G91" s="3" t="s">
        <v>311</v>
      </c>
      <c r="H91" s="2" t="s">
        <v>21</v>
      </c>
      <c r="I91" s="2" t="s">
        <v>326</v>
      </c>
      <c r="J91" s="3" t="str">
        <f>HYPERLINK("https://www.boe.es/gazeta/dias/1817/07/24/pdfs/GMD-1817-88.pdf#page=12","Abrir facsímil")</f>
        <v>Abrir facsímil</v>
      </c>
      <c r="K91" s="3" t="s">
        <v>23</v>
      </c>
    </row>
    <row r="92" spans="1:11" ht="42" customHeight="1">
      <c r="A92" s="2" t="s">
        <v>324</v>
      </c>
      <c r="B92" s="2" t="s">
        <v>325</v>
      </c>
      <c r="C92" s="2" t="s">
        <v>36</v>
      </c>
      <c r="D92" s="2" t="s">
        <v>37</v>
      </c>
      <c r="E92" s="5">
        <v>-30109</v>
      </c>
      <c r="F92" s="3" t="s">
        <v>205</v>
      </c>
      <c r="G92" s="3" t="s">
        <v>112</v>
      </c>
      <c r="H92" s="2" t="s">
        <v>21</v>
      </c>
      <c r="I92" s="2" t="s">
        <v>327</v>
      </c>
      <c r="J92" s="3" t="str">
        <f>HYPERLINK("https://www.boe.es/gazeta/dias/1817/07/24/pdfs/GMD-1817-88.pdf#page=11","Abrir facsímil")</f>
        <v>Abrir facsímil</v>
      </c>
      <c r="K92" s="3" t="s">
        <v>23</v>
      </c>
    </row>
    <row r="93" spans="1:11" ht="42" customHeight="1">
      <c r="A93" s="2" t="s">
        <v>328</v>
      </c>
      <c r="B93" s="2" t="s">
        <v>328</v>
      </c>
      <c r="C93" s="2" t="s">
        <v>36</v>
      </c>
      <c r="D93" s="2" t="s">
        <v>37</v>
      </c>
      <c r="E93" s="5">
        <v>-30004</v>
      </c>
      <c r="F93" s="3" t="s">
        <v>329</v>
      </c>
      <c r="G93" s="3" t="s">
        <v>330</v>
      </c>
      <c r="H93" s="2" t="s">
        <v>21</v>
      </c>
      <c r="I93" s="2" t="s">
        <v>331</v>
      </c>
      <c r="J93" s="3" t="str">
        <f>HYPERLINK("https://www.boe.es/gazeta/dias/1817/11/06/pdfs/GMD-1817-133.pdf#page=4","Abrir facsímil")</f>
        <v>Abrir facsímil</v>
      </c>
      <c r="K93" s="3" t="s">
        <v>23</v>
      </c>
    </row>
    <row r="94" spans="1:11" ht="42" customHeight="1">
      <c r="A94" s="2" t="s">
        <v>332</v>
      </c>
      <c r="B94" s="2" t="s">
        <v>333</v>
      </c>
      <c r="C94" s="2" t="s">
        <v>36</v>
      </c>
      <c r="D94" s="2" t="s">
        <v>37</v>
      </c>
      <c r="E94" s="5">
        <v>-30004</v>
      </c>
      <c r="F94" s="3" t="s">
        <v>329</v>
      </c>
      <c r="G94" s="3" t="s">
        <v>330</v>
      </c>
      <c r="H94" s="2" t="s">
        <v>21</v>
      </c>
      <c r="I94" s="2" t="s">
        <v>334</v>
      </c>
      <c r="J94" s="3" t="str">
        <f>HYPERLINK("https://www.boe.es/gazeta/dias/1817/11/06/pdfs/GMD-1817-133.pdf#page=4","Abrir facsímil")</f>
        <v>Abrir facsímil</v>
      </c>
      <c r="K94" s="3" t="s">
        <v>23</v>
      </c>
    </row>
    <row r="95" spans="1:11" ht="42" customHeight="1">
      <c r="A95" s="2" t="s">
        <v>335</v>
      </c>
      <c r="B95" s="2" t="s">
        <v>336</v>
      </c>
      <c r="C95" s="2" t="s">
        <v>55</v>
      </c>
      <c r="D95" s="2" t="s">
        <v>44</v>
      </c>
      <c r="E95" s="5">
        <v>-30032</v>
      </c>
      <c r="F95" s="3" t="s">
        <v>337</v>
      </c>
      <c r="G95" s="3" t="s">
        <v>77</v>
      </c>
      <c r="H95" s="2" t="s">
        <v>21</v>
      </c>
      <c r="I95" s="2" t="s">
        <v>338</v>
      </c>
      <c r="J95" s="3" t="str">
        <f>HYPERLINK("https://www.boe.es/gazeta/dias/1817/10/09/pdfs/GMD-1817-121.pdf#page=8","Abrir facsímil")</f>
        <v>Abrir facsímil</v>
      </c>
      <c r="K95" s="3" t="s">
        <v>23</v>
      </c>
    </row>
    <row r="96" spans="1:11" ht="42" customHeight="1">
      <c r="A96" s="2" t="s">
        <v>339</v>
      </c>
      <c r="B96" s="2" t="s">
        <v>340</v>
      </c>
      <c r="C96" s="2" t="s">
        <v>49</v>
      </c>
      <c r="D96" s="2" t="s">
        <v>44</v>
      </c>
      <c r="E96" s="5">
        <v>-30270</v>
      </c>
      <c r="F96" s="3" t="s">
        <v>341</v>
      </c>
      <c r="G96" s="3" t="s">
        <v>342</v>
      </c>
      <c r="H96" s="2" t="s">
        <v>21</v>
      </c>
      <c r="I96" s="2" t="s">
        <v>343</v>
      </c>
      <c r="J96" s="3" t="str">
        <f>HYPERLINK("https://www.boe.es/gazeta/dias/1817/02/13/pdfs/GMD-1817-19.pdf#page=8","Abrir facsímil")</f>
        <v>Abrir facsímil</v>
      </c>
      <c r="K96" s="3" t="s">
        <v>23</v>
      </c>
    </row>
    <row r="97" spans="1:11" ht="42" customHeight="1">
      <c r="A97" s="2" t="s">
        <v>339</v>
      </c>
      <c r="B97" s="2" t="s">
        <v>340</v>
      </c>
      <c r="C97" s="2" t="s">
        <v>55</v>
      </c>
      <c r="D97" s="2" t="s">
        <v>44</v>
      </c>
      <c r="E97" s="5">
        <v>-30216</v>
      </c>
      <c r="F97" s="3" t="s">
        <v>344</v>
      </c>
      <c r="G97" s="3" t="s">
        <v>77</v>
      </c>
      <c r="H97" s="2" t="s">
        <v>21</v>
      </c>
      <c r="I97" s="2" t="s">
        <v>345</v>
      </c>
      <c r="J97" s="3" t="str">
        <f>HYPERLINK("https://www.boe.es/gazeta/dias/1817/04/08/pdfs/GMD-1817-42.pdf#page=8","Abrir facsímil")</f>
        <v>Abrir facsímil</v>
      </c>
      <c r="K97" s="3" t="s">
        <v>23</v>
      </c>
    </row>
    <row r="98" spans="1:11" ht="42" customHeight="1">
      <c r="A98" s="2" t="s">
        <v>346</v>
      </c>
      <c r="B98" s="2" t="s">
        <v>346</v>
      </c>
      <c r="C98" s="2" t="s">
        <v>49</v>
      </c>
      <c r="D98" s="2" t="s">
        <v>44</v>
      </c>
      <c r="E98" s="5">
        <v>-30240</v>
      </c>
      <c r="F98" s="3" t="s">
        <v>347</v>
      </c>
      <c r="G98" s="3" t="s">
        <v>77</v>
      </c>
      <c r="H98" s="2" t="s">
        <v>21</v>
      </c>
      <c r="I98" s="2" t="s">
        <v>348</v>
      </c>
      <c r="J98" s="3" t="str">
        <f>HYPERLINK("https://www.boe.es/gazeta/dias/1817/03/15/pdfs/GMD-1817-32.pdf#page=8","Abrir facsímil")</f>
        <v>Abrir facsímil</v>
      </c>
      <c r="K98" s="3" t="s">
        <v>23</v>
      </c>
    </row>
    <row r="99" spans="1:11" ht="42" customHeight="1">
      <c r="A99" s="2" t="s">
        <v>349</v>
      </c>
      <c r="B99" s="2" t="s">
        <v>350</v>
      </c>
      <c r="C99" s="2" t="s">
        <v>17</v>
      </c>
      <c r="D99" s="2" t="s">
        <v>18</v>
      </c>
      <c r="E99" s="5">
        <v>-30125</v>
      </c>
      <c r="F99" s="3" t="s">
        <v>102</v>
      </c>
      <c r="G99" s="3" t="s">
        <v>103</v>
      </c>
      <c r="H99" s="2" t="s">
        <v>21</v>
      </c>
      <c r="I99" s="2" t="s">
        <v>351</v>
      </c>
      <c r="J99" s="3" t="str">
        <f>HYPERLINK("https://www.boe.es/gazeta/dias/1817/07/08/pdfs/GMD-1817-81.pdf#page=12","Abrir facsímil")</f>
        <v>Abrir facsímil</v>
      </c>
      <c r="K99" s="3" t="s">
        <v>23</v>
      </c>
    </row>
    <row r="100" spans="1:11" ht="42" customHeight="1">
      <c r="A100" s="2" t="s">
        <v>352</v>
      </c>
      <c r="B100" s="2" t="s">
        <v>353</v>
      </c>
      <c r="C100" s="2" t="s">
        <v>43</v>
      </c>
      <c r="D100" s="2" t="s">
        <v>44</v>
      </c>
      <c r="E100" s="5">
        <v>-30286</v>
      </c>
      <c r="F100" s="3" t="s">
        <v>354</v>
      </c>
      <c r="G100" s="3" t="s">
        <v>57</v>
      </c>
      <c r="H100" s="2" t="s">
        <v>21</v>
      </c>
      <c r="I100" s="2" t="s">
        <v>355</v>
      </c>
      <c r="J100" s="3" t="str">
        <f>HYPERLINK("https://www.boe.es/gazeta/dias/1817/01/28/pdfs/GMD-1817-12.pdf#page=6","Abrir facsímil")</f>
        <v>Abrir facsímil</v>
      </c>
      <c r="K100" s="3" t="s">
        <v>23</v>
      </c>
    </row>
    <row r="101" spans="1:11" ht="42" customHeight="1">
      <c r="A101" s="2" t="s">
        <v>356</v>
      </c>
      <c r="B101" s="2" t="s">
        <v>356</v>
      </c>
      <c r="C101" s="2" t="s">
        <v>36</v>
      </c>
      <c r="D101" s="2" t="s">
        <v>37</v>
      </c>
      <c r="E101" s="5">
        <v>-30296</v>
      </c>
      <c r="F101" s="3" t="s">
        <v>357</v>
      </c>
      <c r="G101" s="3" t="s">
        <v>358</v>
      </c>
      <c r="H101" s="2" t="s">
        <v>21</v>
      </c>
      <c r="I101" s="2" t="s">
        <v>359</v>
      </c>
      <c r="J101" s="3" t="str">
        <f>HYPERLINK("https://www.boe.es/gazeta/dias/1817/01/18/pdfs/GMD-1817-8.pdf#page=10","Abrir facsímil")</f>
        <v>Abrir facsímil</v>
      </c>
      <c r="K101" s="3" t="s">
        <v>23</v>
      </c>
    </row>
    <row r="102" spans="1:11" ht="42" customHeight="1">
      <c r="A102" s="2" t="s">
        <v>360</v>
      </c>
      <c r="B102" s="2" t="s">
        <v>361</v>
      </c>
      <c r="C102" s="2" t="s">
        <v>138</v>
      </c>
      <c r="D102" s="2" t="s">
        <v>44</v>
      </c>
      <c r="E102" s="5">
        <v>-30097</v>
      </c>
      <c r="F102" s="3" t="s">
        <v>156</v>
      </c>
      <c r="G102" s="3" t="s">
        <v>20</v>
      </c>
      <c r="H102" s="2" t="s">
        <v>21</v>
      </c>
      <c r="I102" s="2" t="s">
        <v>362</v>
      </c>
      <c r="J102" s="3" t="str">
        <f>HYPERLINK("https://www.boe.es/gazeta/dias/1817/08/05/pdfs/GMD-1817-93.pdf#page=7","Abrir facsímil")</f>
        <v>Abrir facsímil</v>
      </c>
      <c r="K102" s="3" t="s">
        <v>23</v>
      </c>
    </row>
    <row r="103" spans="1:11" ht="42" customHeight="1">
      <c r="A103" s="2" t="s">
        <v>363</v>
      </c>
      <c r="B103" s="2" t="s">
        <v>364</v>
      </c>
      <c r="C103" s="2" t="s">
        <v>138</v>
      </c>
      <c r="D103" s="2" t="s">
        <v>44</v>
      </c>
      <c r="E103" s="5">
        <v>-30095</v>
      </c>
      <c r="F103" s="3" t="s">
        <v>365</v>
      </c>
      <c r="G103" s="3" t="s">
        <v>82</v>
      </c>
      <c r="H103" s="2" t="s">
        <v>21</v>
      </c>
      <c r="I103" s="2" t="s">
        <v>366</v>
      </c>
      <c r="J103" s="3" t="str">
        <f>HYPERLINK("https://www.boe.es/gazeta/dias/1817/08/07/pdfs/GMD-1817-94.pdf#page=12","Abrir facsímil")</f>
        <v>Abrir facsímil</v>
      </c>
      <c r="K103" s="3" t="s">
        <v>23</v>
      </c>
    </row>
    <row r="104" spans="1:11" ht="42" customHeight="1">
      <c r="A104" s="2" t="s">
        <v>363</v>
      </c>
      <c r="B104" s="2" t="s">
        <v>364</v>
      </c>
      <c r="C104" s="2" t="s">
        <v>138</v>
      </c>
      <c r="D104" s="2" t="s">
        <v>44</v>
      </c>
      <c r="E104" s="5">
        <v>-30081</v>
      </c>
      <c r="F104" s="3" t="s">
        <v>133</v>
      </c>
      <c r="G104" s="3" t="s">
        <v>112</v>
      </c>
      <c r="H104" s="2" t="s">
        <v>21</v>
      </c>
      <c r="I104" s="2" t="s">
        <v>367</v>
      </c>
      <c r="J104" s="3" t="str">
        <f>HYPERLINK("https://www.boe.es/gazeta/dias/1817/08/21/pdfs/GMD-1817-100.pdf#page=11","Abrir facsímil")</f>
        <v>Abrir facsímil</v>
      </c>
      <c r="K104" s="3" t="s">
        <v>23</v>
      </c>
    </row>
    <row r="105" spans="1:11" ht="42" customHeight="1">
      <c r="A105" s="2" t="s">
        <v>363</v>
      </c>
      <c r="B105" s="2" t="s">
        <v>364</v>
      </c>
      <c r="C105" s="2" t="s">
        <v>138</v>
      </c>
      <c r="D105" s="2" t="s">
        <v>44</v>
      </c>
      <c r="E105" s="5">
        <v>-30074</v>
      </c>
      <c r="F105" s="3" t="s">
        <v>368</v>
      </c>
      <c r="G105" s="3" t="s">
        <v>369</v>
      </c>
      <c r="H105" s="2" t="s">
        <v>21</v>
      </c>
      <c r="I105" s="2" t="s">
        <v>370</v>
      </c>
      <c r="J105" s="3" t="str">
        <f>HYPERLINK("https://www.boe.es/gazeta/dias/1817/08/28/pdfs/GMD-1817-103.pdf#page=12","Abrir facsímil")</f>
        <v>Abrir facsímil</v>
      </c>
      <c r="K105" s="3" t="s">
        <v>23</v>
      </c>
    </row>
    <row r="106" spans="1:11" ht="42" customHeight="1">
      <c r="A106" s="2" t="s">
        <v>371</v>
      </c>
      <c r="B106" s="2" t="s">
        <v>372</v>
      </c>
      <c r="C106" s="2" t="s">
        <v>17</v>
      </c>
      <c r="D106" s="2" t="s">
        <v>18</v>
      </c>
      <c r="E106" s="5">
        <v>-30135</v>
      </c>
      <c r="F106" s="3" t="s">
        <v>239</v>
      </c>
      <c r="G106" s="3" t="s">
        <v>240</v>
      </c>
      <c r="H106" s="2" t="s">
        <v>21</v>
      </c>
      <c r="I106" s="2" t="s">
        <v>373</v>
      </c>
      <c r="J106" s="3" t="str">
        <f>HYPERLINK("https://www.boe.es/gazeta/dias/1817/06/28/pdfs/GMD-1817-77.pdf#page=7","Abrir facsímil")</f>
        <v>Abrir facsímil</v>
      </c>
      <c r="K106" s="3" t="s">
        <v>23</v>
      </c>
    </row>
    <row r="107" spans="1:11" ht="42" customHeight="1">
      <c r="A107" s="2" t="s">
        <v>374</v>
      </c>
      <c r="B107" s="2" t="s">
        <v>375</v>
      </c>
      <c r="C107" s="2" t="s">
        <v>36</v>
      </c>
      <c r="D107" s="2" t="s">
        <v>37</v>
      </c>
      <c r="E107" s="5">
        <v>-29981</v>
      </c>
      <c r="F107" s="3" t="s">
        <v>111</v>
      </c>
      <c r="G107" s="3" t="s">
        <v>57</v>
      </c>
      <c r="H107" s="2" t="s">
        <v>21</v>
      </c>
      <c r="I107" s="2" t="s">
        <v>376</v>
      </c>
      <c r="J107" s="3" t="str">
        <f>HYPERLINK("https://www.boe.es/gazeta/dias/1817/11/29/pdfs/GMD-1817-143.pdf#page=6","Abrir facsímil")</f>
        <v>Abrir facsímil</v>
      </c>
      <c r="K107" s="3" t="s">
        <v>23</v>
      </c>
    </row>
    <row r="108" spans="1:11" ht="42" customHeight="1">
      <c r="A108" s="2" t="s">
        <v>374</v>
      </c>
      <c r="B108" s="2" t="s">
        <v>375</v>
      </c>
      <c r="C108" s="2" t="s">
        <v>36</v>
      </c>
      <c r="D108" s="2" t="s">
        <v>37</v>
      </c>
      <c r="E108" s="5">
        <v>-29974</v>
      </c>
      <c r="F108" s="3" t="s">
        <v>32</v>
      </c>
      <c r="G108" s="3" t="s">
        <v>20</v>
      </c>
      <c r="H108" s="2" t="s">
        <v>21</v>
      </c>
      <c r="I108" s="2" t="s">
        <v>377</v>
      </c>
      <c r="J108" s="3" t="str">
        <f>HYPERLINK("https://www.boe.es/gazeta/dias/1817/12/06/pdfs/GMD-1817-146.pdf#page=7","Abrir facsímil")</f>
        <v>Abrir facsímil</v>
      </c>
      <c r="K108" s="3" t="s">
        <v>23</v>
      </c>
    </row>
    <row r="109" spans="1:11" ht="42" customHeight="1">
      <c r="A109" s="2" t="s">
        <v>378</v>
      </c>
      <c r="B109" s="2" t="s">
        <v>378</v>
      </c>
      <c r="C109" s="2" t="s">
        <v>36</v>
      </c>
      <c r="D109" s="2" t="s">
        <v>37</v>
      </c>
      <c r="E109" s="5">
        <v>-29985</v>
      </c>
      <c r="F109" s="3" t="s">
        <v>76</v>
      </c>
      <c r="G109" s="3" t="s">
        <v>82</v>
      </c>
      <c r="H109" s="2" t="s">
        <v>21</v>
      </c>
      <c r="I109" s="2" t="s">
        <v>379</v>
      </c>
      <c r="J109" s="3" t="str">
        <f>HYPERLINK("https://www.boe.es/gazeta/dias/1817/11/25/pdfs/GMD-1817-141.pdf#page=12","Abrir facsímil")</f>
        <v>Abrir facsímil</v>
      </c>
      <c r="K109" s="3" t="s">
        <v>23</v>
      </c>
    </row>
    <row r="110" spans="1:11" ht="42" customHeight="1">
      <c r="A110" s="2" t="s">
        <v>380</v>
      </c>
      <c r="B110" s="2" t="s">
        <v>380</v>
      </c>
      <c r="C110" s="2" t="s">
        <v>55</v>
      </c>
      <c r="D110" s="2" t="s">
        <v>44</v>
      </c>
      <c r="E110" s="5">
        <v>-30135</v>
      </c>
      <c r="F110" s="3" t="s">
        <v>239</v>
      </c>
      <c r="G110" s="3" t="s">
        <v>144</v>
      </c>
      <c r="H110" s="2" t="s">
        <v>21</v>
      </c>
      <c r="I110" s="2" t="s">
        <v>381</v>
      </c>
      <c r="J110" s="3" t="str">
        <f>HYPERLINK("https://www.boe.es/gazeta/dias/1817/06/28/pdfs/GMD-1817-77.pdf#page=4","Abrir facsímil")</f>
        <v>Abrir facsímil</v>
      </c>
      <c r="K110" s="3" t="s">
        <v>23</v>
      </c>
    </row>
    <row r="111" spans="1:11" ht="42" customHeight="1">
      <c r="A111" s="2" t="s">
        <v>382</v>
      </c>
      <c r="B111" s="2" t="s">
        <v>382</v>
      </c>
      <c r="C111" s="2" t="s">
        <v>55</v>
      </c>
      <c r="D111" s="2" t="s">
        <v>44</v>
      </c>
      <c r="E111" s="5">
        <v>-30228</v>
      </c>
      <c r="F111" s="3" t="s">
        <v>383</v>
      </c>
      <c r="G111" s="3" t="s">
        <v>77</v>
      </c>
      <c r="H111" s="2" t="s">
        <v>21</v>
      </c>
      <c r="I111" s="2" t="s">
        <v>384</v>
      </c>
      <c r="J111" s="3" t="str">
        <f>HYPERLINK("https://www.boe.es/gazeta/dias/1817/03/27/pdfs/GMD-1817-37.pdf#page=8","Abrir facsímil")</f>
        <v>Abrir facsímil</v>
      </c>
      <c r="K111" s="3" t="s">
        <v>23</v>
      </c>
    </row>
    <row r="112" spans="1:11" ht="42" customHeight="1">
      <c r="A112" s="2" t="s">
        <v>385</v>
      </c>
      <c r="B112" s="2" t="s">
        <v>386</v>
      </c>
      <c r="C112" s="2" t="s">
        <v>43</v>
      </c>
      <c r="D112" s="2" t="s">
        <v>44</v>
      </c>
      <c r="E112" s="5">
        <v>-30312</v>
      </c>
      <c r="F112" s="3" t="s">
        <v>86</v>
      </c>
      <c r="G112" s="3" t="s">
        <v>87</v>
      </c>
      <c r="H112" s="2" t="s">
        <v>27</v>
      </c>
      <c r="I112" s="2" t="s">
        <v>387</v>
      </c>
      <c r="J112" s="3" t="str">
        <f>HYPERLINK("https://www.boe.es/gazeta/dias/1817/01/02/pdfs/GMD-1817-1.pdf#page=4","Abrir facsímil")</f>
        <v>Abrir facsímil</v>
      </c>
      <c r="K112" s="3" t="s">
        <v>29</v>
      </c>
    </row>
    <row r="113" spans="1:11" ht="42" customHeight="1">
      <c r="A113" s="2" t="s">
        <v>385</v>
      </c>
      <c r="B113" s="2" t="s">
        <v>386</v>
      </c>
      <c r="C113" s="2" t="s">
        <v>43</v>
      </c>
      <c r="D113" s="2" t="s">
        <v>44</v>
      </c>
      <c r="E113" s="5">
        <v>-30312</v>
      </c>
      <c r="F113" s="3" t="s">
        <v>86</v>
      </c>
      <c r="G113" s="3" t="s">
        <v>39</v>
      </c>
      <c r="H113" s="2" t="s">
        <v>27</v>
      </c>
      <c r="I113" s="2" t="s">
        <v>388</v>
      </c>
      <c r="J113" s="3" t="str">
        <f>HYPERLINK("https://www.boe.es/gazeta/dias/1817/01/02/pdfs/GMD-1817-1.pdf#page=5","Abrir facsímil")</f>
        <v>Abrir facsímil</v>
      </c>
      <c r="K113" s="3" t="s">
        <v>29</v>
      </c>
    </row>
    <row r="114" spans="1:11" ht="42" customHeight="1">
      <c r="A114" s="2" t="s">
        <v>389</v>
      </c>
      <c r="B114" s="2" t="s">
        <v>390</v>
      </c>
      <c r="C114" s="2" t="s">
        <v>17</v>
      </c>
      <c r="D114" s="2" t="s">
        <v>18</v>
      </c>
      <c r="E114" s="5">
        <v>-30179</v>
      </c>
      <c r="F114" s="3" t="s">
        <v>391</v>
      </c>
      <c r="G114" s="3" t="s">
        <v>20</v>
      </c>
      <c r="H114" s="2" t="s">
        <v>21</v>
      </c>
      <c r="I114" s="2" t="s">
        <v>392</v>
      </c>
      <c r="J114" s="3" t="str">
        <f>HYPERLINK("https://www.boe.es/gazeta/dias/1817/05/15/pdfs/GMD-1817-58.pdf#page=7","Abrir facsímil")</f>
        <v>Abrir facsímil</v>
      </c>
      <c r="K114" s="3" t="s">
        <v>23</v>
      </c>
    </row>
    <row r="115" spans="1:11" ht="42" customHeight="1">
      <c r="A115" s="2" t="s">
        <v>393</v>
      </c>
      <c r="B115" s="2" t="s">
        <v>394</v>
      </c>
      <c r="C115" s="2" t="s">
        <v>36</v>
      </c>
      <c r="D115" s="2" t="s">
        <v>37</v>
      </c>
      <c r="E115" s="5">
        <v>-30193</v>
      </c>
      <c r="F115" s="3" t="s">
        <v>38</v>
      </c>
      <c r="G115" s="3" t="s">
        <v>39</v>
      </c>
      <c r="H115" s="2" t="s">
        <v>21</v>
      </c>
      <c r="I115" s="2" t="s">
        <v>395</v>
      </c>
      <c r="J115" s="3" t="str">
        <f>HYPERLINK("https://www.boe.es/gazeta/dias/1817/05/01/pdfs/GMD-1817-52.pdf#page=5","Abrir facsímil")</f>
        <v>Abrir facsímil</v>
      </c>
      <c r="K115" s="3" t="s">
        <v>23</v>
      </c>
    </row>
    <row r="116" spans="1:11" ht="42" customHeight="1">
      <c r="A116" s="2" t="s">
        <v>396</v>
      </c>
      <c r="B116" s="2" t="s">
        <v>397</v>
      </c>
      <c r="C116" s="2" t="s">
        <v>17</v>
      </c>
      <c r="D116" s="2" t="s">
        <v>18</v>
      </c>
      <c r="E116" s="5">
        <v>-30235</v>
      </c>
      <c r="F116" s="3" t="s">
        <v>398</v>
      </c>
      <c r="G116" s="3" t="s">
        <v>77</v>
      </c>
      <c r="H116" s="2" t="s">
        <v>21</v>
      </c>
      <c r="I116" s="2" t="s">
        <v>399</v>
      </c>
      <c r="J116" s="3" t="str">
        <f>HYPERLINK("https://www.boe.es/gazeta/dias/1817/03/20/pdfs/GMD-1817-34.pdf#page=8","Abrir facsímil")</f>
        <v>Abrir facsímil</v>
      </c>
      <c r="K116" s="3" t="s">
        <v>23</v>
      </c>
    </row>
    <row r="117" spans="1:11" ht="42" customHeight="1">
      <c r="A117" s="2" t="s">
        <v>400</v>
      </c>
      <c r="B117" s="2" t="s">
        <v>401</v>
      </c>
      <c r="C117" s="2" t="s">
        <v>17</v>
      </c>
      <c r="D117" s="2" t="s">
        <v>18</v>
      </c>
      <c r="E117" s="5">
        <v>-30093</v>
      </c>
      <c r="F117" s="3" t="s">
        <v>230</v>
      </c>
      <c r="G117" s="3" t="s">
        <v>20</v>
      </c>
      <c r="H117" s="2" t="s">
        <v>21</v>
      </c>
      <c r="I117" s="2" t="s">
        <v>402</v>
      </c>
      <c r="J117" s="3" t="str">
        <f>HYPERLINK("https://www.boe.es/gazeta/dias/1817/08/09/pdfs/GMD-1817-95.pdf#page=7","Abrir facsímil")</f>
        <v>Abrir facsímil</v>
      </c>
      <c r="K117" s="3" t="s">
        <v>23</v>
      </c>
    </row>
    <row r="118" spans="1:11" ht="42" customHeight="1">
      <c r="A118" s="2" t="s">
        <v>403</v>
      </c>
      <c r="B118" s="2" t="s">
        <v>404</v>
      </c>
      <c r="C118" s="2" t="s">
        <v>43</v>
      </c>
      <c r="D118" s="2" t="s">
        <v>44</v>
      </c>
      <c r="E118" s="5">
        <v>-30305</v>
      </c>
      <c r="F118" s="3" t="s">
        <v>405</v>
      </c>
      <c r="G118" s="3" t="s">
        <v>77</v>
      </c>
      <c r="H118" s="2" t="s">
        <v>21</v>
      </c>
      <c r="I118" s="2" t="s">
        <v>406</v>
      </c>
      <c r="J118" s="3" t="str">
        <f>HYPERLINK("https://www.boe.es/gazeta/dias/1817/01/09/pdfs/GMD-1817-4.pdf#page=8","Abrir facsímil")</f>
        <v>Abrir facsímil</v>
      </c>
      <c r="K118" s="3" t="s">
        <v>23</v>
      </c>
    </row>
    <row r="119" spans="1:11" ht="42" customHeight="1">
      <c r="A119" s="2" t="s">
        <v>403</v>
      </c>
      <c r="B119" s="2" t="s">
        <v>404</v>
      </c>
      <c r="C119" s="2" t="s">
        <v>17</v>
      </c>
      <c r="D119" s="2" t="s">
        <v>18</v>
      </c>
      <c r="E119" s="5">
        <v>-30303</v>
      </c>
      <c r="F119" s="3" t="s">
        <v>407</v>
      </c>
      <c r="G119" s="3" t="s">
        <v>77</v>
      </c>
      <c r="H119" s="2" t="s">
        <v>21</v>
      </c>
      <c r="I119" s="2" t="s">
        <v>408</v>
      </c>
      <c r="J119" s="3" t="str">
        <f>HYPERLINK("https://www.boe.es/gazeta/dias/1817/01/11/pdfs/GMD-1817-5.pdf#page=8","Abrir facsímil")</f>
        <v>Abrir facsímil</v>
      </c>
      <c r="K119" s="3" t="s">
        <v>23</v>
      </c>
    </row>
    <row r="120" spans="1:11" ht="42" customHeight="1">
      <c r="A120" s="2" t="s">
        <v>403</v>
      </c>
      <c r="B120" s="2" t="s">
        <v>404</v>
      </c>
      <c r="C120" s="2" t="s">
        <v>17</v>
      </c>
      <c r="D120" s="2" t="s">
        <v>18</v>
      </c>
      <c r="E120" s="5">
        <v>-30300</v>
      </c>
      <c r="F120" s="3" t="s">
        <v>164</v>
      </c>
      <c r="G120" s="3" t="s">
        <v>409</v>
      </c>
      <c r="H120" s="2" t="s">
        <v>21</v>
      </c>
      <c r="I120" s="2" t="s">
        <v>410</v>
      </c>
      <c r="J120" s="3" t="str">
        <f>HYPERLINK("https://www.boe.es/gazeta/dias/1817/01/14/pdfs/GMD-1817-6.pdf#page=8","Abrir facsímil")</f>
        <v>Abrir facsímil</v>
      </c>
      <c r="K120" s="3" t="s">
        <v>23</v>
      </c>
    </row>
    <row r="121" spans="1:11" ht="42" customHeight="1">
      <c r="A121" s="2" t="s">
        <v>403</v>
      </c>
      <c r="B121" s="2" t="s">
        <v>404</v>
      </c>
      <c r="C121" s="2" t="s">
        <v>17</v>
      </c>
      <c r="D121" s="2" t="s">
        <v>18</v>
      </c>
      <c r="E121" s="5">
        <v>-30270</v>
      </c>
      <c r="F121" s="3" t="s">
        <v>341</v>
      </c>
      <c r="G121" s="3" t="s">
        <v>20</v>
      </c>
      <c r="H121" s="2" t="s">
        <v>21</v>
      </c>
      <c r="I121" s="2" t="s">
        <v>411</v>
      </c>
      <c r="J121" s="3" t="str">
        <f>HYPERLINK("https://www.boe.es/gazeta/dias/1817/02/13/pdfs/GMD-1817-19.pdf#page=7","Abrir facsímil")</f>
        <v>Abrir facsímil</v>
      </c>
      <c r="K121" s="3" t="s">
        <v>23</v>
      </c>
    </row>
    <row r="122" spans="1:11" ht="42" customHeight="1">
      <c r="A122" s="2" t="s">
        <v>403</v>
      </c>
      <c r="B122" s="2" t="s">
        <v>404</v>
      </c>
      <c r="C122" s="2" t="s">
        <v>17</v>
      </c>
      <c r="D122" s="2" t="s">
        <v>18</v>
      </c>
      <c r="E122" s="5">
        <v>-30265</v>
      </c>
      <c r="F122" s="3" t="s">
        <v>107</v>
      </c>
      <c r="G122" s="3" t="s">
        <v>77</v>
      </c>
      <c r="H122" s="2" t="s">
        <v>21</v>
      </c>
      <c r="I122" s="2" t="s">
        <v>412</v>
      </c>
      <c r="J122" s="3" t="str">
        <f>HYPERLINK("https://www.boe.es/gazeta/dias/1817/02/18/pdfs/GMD-1817-21.pdf#page=8","Abrir facsímil")</f>
        <v>Abrir facsímil</v>
      </c>
      <c r="K122" s="3" t="s">
        <v>23</v>
      </c>
    </row>
    <row r="123" spans="1:11" ht="42" customHeight="1">
      <c r="A123" s="2" t="s">
        <v>403</v>
      </c>
      <c r="B123" s="2" t="s">
        <v>404</v>
      </c>
      <c r="C123" s="2" t="s">
        <v>17</v>
      </c>
      <c r="D123" s="2" t="s">
        <v>18</v>
      </c>
      <c r="E123" s="5">
        <v>-30256</v>
      </c>
      <c r="F123" s="3" t="s">
        <v>302</v>
      </c>
      <c r="G123" s="3" t="s">
        <v>77</v>
      </c>
      <c r="H123" s="2" t="s">
        <v>21</v>
      </c>
      <c r="I123" s="2" t="s">
        <v>413</v>
      </c>
      <c r="J123" s="3" t="str">
        <f>HYPERLINK("https://www.boe.es/gazeta/dias/1817/02/27/pdfs/GMD-1817-25.pdf#page=8","Abrir facsímil")</f>
        <v>Abrir facsímil</v>
      </c>
      <c r="K123" s="3" t="s">
        <v>23</v>
      </c>
    </row>
    <row r="124" spans="1:11" ht="42" customHeight="1">
      <c r="A124" s="2" t="s">
        <v>403</v>
      </c>
      <c r="B124" s="2" t="s">
        <v>404</v>
      </c>
      <c r="C124" s="2" t="s">
        <v>17</v>
      </c>
      <c r="D124" s="2" t="s">
        <v>18</v>
      </c>
      <c r="E124" s="5">
        <v>-30237</v>
      </c>
      <c r="F124" s="3" t="s">
        <v>56</v>
      </c>
      <c r="G124" s="3" t="s">
        <v>77</v>
      </c>
      <c r="H124" s="2" t="s">
        <v>21</v>
      </c>
      <c r="I124" s="2" t="s">
        <v>414</v>
      </c>
      <c r="J124" s="3" t="str">
        <f>HYPERLINK("https://www.boe.es/gazeta/dias/1817/03/18/pdfs/GMD-1817-33.pdf#page=8","Abrir facsímil")</f>
        <v>Abrir facsímil</v>
      </c>
      <c r="K124" s="3" t="s">
        <v>23</v>
      </c>
    </row>
    <row r="125" spans="1:11" ht="42" customHeight="1">
      <c r="A125" s="2" t="s">
        <v>403</v>
      </c>
      <c r="B125" s="2" t="s">
        <v>404</v>
      </c>
      <c r="C125" s="2" t="s">
        <v>17</v>
      </c>
      <c r="D125" s="2" t="s">
        <v>18</v>
      </c>
      <c r="E125" s="5">
        <v>-30235</v>
      </c>
      <c r="F125" s="3" t="s">
        <v>398</v>
      </c>
      <c r="G125" s="3" t="s">
        <v>20</v>
      </c>
      <c r="H125" s="2" t="s">
        <v>21</v>
      </c>
      <c r="I125" s="2" t="s">
        <v>415</v>
      </c>
      <c r="J125" s="3" t="str">
        <f>HYPERLINK("https://www.boe.es/gazeta/dias/1817/03/20/pdfs/GMD-1817-34.pdf#page=7","Abrir facsímil")</f>
        <v>Abrir facsímil</v>
      </c>
      <c r="K125" s="3" t="s">
        <v>23</v>
      </c>
    </row>
    <row r="126" spans="1:11" ht="42" customHeight="1">
      <c r="A126" s="2" t="s">
        <v>403</v>
      </c>
      <c r="B126" s="2" t="s">
        <v>404</v>
      </c>
      <c r="C126" s="2" t="s">
        <v>43</v>
      </c>
      <c r="D126" s="2" t="s">
        <v>44</v>
      </c>
      <c r="E126" s="5">
        <v>-30226</v>
      </c>
      <c r="F126" s="3" t="s">
        <v>416</v>
      </c>
      <c r="G126" s="3" t="s">
        <v>20</v>
      </c>
      <c r="H126" s="2" t="s">
        <v>21</v>
      </c>
      <c r="I126" s="2" t="s">
        <v>417</v>
      </c>
      <c r="J126" s="3" t="str">
        <f>HYPERLINK("https://www.boe.es/gazeta/dias/1817/03/29/pdfs/GMD-1817-38.pdf#page=7","Abrir facsímil")</f>
        <v>Abrir facsímil</v>
      </c>
      <c r="K126" s="3" t="s">
        <v>23</v>
      </c>
    </row>
    <row r="127" spans="1:11" ht="42" customHeight="1">
      <c r="A127" s="2" t="s">
        <v>403</v>
      </c>
      <c r="B127" s="2" t="s">
        <v>404</v>
      </c>
      <c r="C127" s="2" t="s">
        <v>17</v>
      </c>
      <c r="D127" s="2" t="s">
        <v>18</v>
      </c>
      <c r="E127" s="5">
        <v>-30202</v>
      </c>
      <c r="F127" s="3" t="s">
        <v>418</v>
      </c>
      <c r="G127" s="3" t="s">
        <v>77</v>
      </c>
      <c r="H127" s="2" t="s">
        <v>21</v>
      </c>
      <c r="I127" s="2" t="s">
        <v>419</v>
      </c>
      <c r="J127" s="3" t="str">
        <f>HYPERLINK("https://www.boe.es/gazeta/dias/1817/04/22/pdfs/GMD-1817-48.pdf#page=8","Abrir facsímil")</f>
        <v>Abrir facsímil</v>
      </c>
      <c r="K127" s="3" t="s">
        <v>23</v>
      </c>
    </row>
    <row r="128" spans="1:11" ht="42" customHeight="1">
      <c r="A128" s="2" t="s">
        <v>403</v>
      </c>
      <c r="B128" s="2" t="s">
        <v>404</v>
      </c>
      <c r="C128" s="2" t="s">
        <v>17</v>
      </c>
      <c r="D128" s="2" t="s">
        <v>18</v>
      </c>
      <c r="E128" s="5">
        <v>-30191</v>
      </c>
      <c r="F128" s="3" t="s">
        <v>420</v>
      </c>
      <c r="G128" s="3" t="s">
        <v>421</v>
      </c>
      <c r="H128" s="2" t="s">
        <v>21</v>
      </c>
      <c r="I128" s="2" t="s">
        <v>422</v>
      </c>
      <c r="J128" s="3" t="str">
        <f>HYPERLINK("https://www.boe.es/gazeta/dias/1817/05/03/pdfs/GMD-1817-53.pdf#page=8","Abrir facsímil")</f>
        <v>Abrir facsímil</v>
      </c>
      <c r="K128" s="3" t="s">
        <v>23</v>
      </c>
    </row>
    <row r="129" spans="1:11" ht="42" customHeight="1">
      <c r="A129" s="2" t="s">
        <v>403</v>
      </c>
      <c r="B129" s="2" t="s">
        <v>404</v>
      </c>
      <c r="C129" s="2" t="s">
        <v>36</v>
      </c>
      <c r="D129" s="2" t="s">
        <v>37</v>
      </c>
      <c r="E129" s="5">
        <v>-30184</v>
      </c>
      <c r="F129" s="3" t="s">
        <v>423</v>
      </c>
      <c r="G129" s="3" t="s">
        <v>77</v>
      </c>
      <c r="H129" s="2" t="s">
        <v>21</v>
      </c>
      <c r="I129" s="2" t="s">
        <v>424</v>
      </c>
      <c r="J129" s="3" t="str">
        <f>HYPERLINK("https://www.boe.es/gazeta/dias/1817/05/10/pdfs/GMD-1817-56.pdf#page=8","Abrir facsímil")</f>
        <v>Abrir facsímil</v>
      </c>
      <c r="K129" s="3" t="s">
        <v>23</v>
      </c>
    </row>
    <row r="130" spans="1:11" ht="42" customHeight="1">
      <c r="A130" s="2" t="s">
        <v>425</v>
      </c>
      <c r="B130" s="2" t="s">
        <v>426</v>
      </c>
      <c r="C130" s="2" t="s">
        <v>138</v>
      </c>
      <c r="D130" s="2" t="s">
        <v>44</v>
      </c>
      <c r="E130" s="5">
        <v>-30160</v>
      </c>
      <c r="F130" s="3" t="s">
        <v>116</v>
      </c>
      <c r="G130" s="3" t="s">
        <v>427</v>
      </c>
      <c r="H130" s="2" t="s">
        <v>21</v>
      </c>
      <c r="I130" s="2" t="s">
        <v>428</v>
      </c>
      <c r="J130" s="3" t="str">
        <f>HYPERLINK("https://www.boe.es/gazeta/dias/1817/06/03/pdfs/GMD-1817-66.pdf#page=8","Abrir facsímil")</f>
        <v>Abrir facsímil</v>
      </c>
      <c r="K130" s="3" t="s">
        <v>23</v>
      </c>
    </row>
    <row r="131" spans="1:11" ht="42" customHeight="1">
      <c r="A131" s="2" t="s">
        <v>403</v>
      </c>
      <c r="B131" s="2" t="s">
        <v>404</v>
      </c>
      <c r="C131" s="2" t="s">
        <v>17</v>
      </c>
      <c r="D131" s="2" t="s">
        <v>18</v>
      </c>
      <c r="E131" s="5">
        <v>-30158</v>
      </c>
      <c r="F131" s="3" t="s">
        <v>305</v>
      </c>
      <c r="G131" s="3" t="s">
        <v>77</v>
      </c>
      <c r="H131" s="2" t="s">
        <v>21</v>
      </c>
      <c r="I131" s="2" t="s">
        <v>429</v>
      </c>
      <c r="J131" s="3" t="str">
        <f>HYPERLINK("https://www.boe.es/gazeta/dias/1817/06/05/pdfs/GMD-1817-67.pdf#page=8","Abrir facsímil")</f>
        <v>Abrir facsímil</v>
      </c>
      <c r="K131" s="3" t="s">
        <v>23</v>
      </c>
    </row>
    <row r="132" spans="1:11" ht="42" customHeight="1">
      <c r="A132" s="2" t="s">
        <v>403</v>
      </c>
      <c r="B132" s="2" t="s">
        <v>404</v>
      </c>
      <c r="C132" s="2" t="s">
        <v>17</v>
      </c>
      <c r="D132" s="2" t="s">
        <v>18</v>
      </c>
      <c r="E132" s="5">
        <v>-30149</v>
      </c>
      <c r="F132" s="3" t="s">
        <v>430</v>
      </c>
      <c r="G132" s="3" t="s">
        <v>77</v>
      </c>
      <c r="H132" s="2" t="s">
        <v>21</v>
      </c>
      <c r="I132" s="2" t="s">
        <v>431</v>
      </c>
      <c r="J132" s="3" t="str">
        <f>HYPERLINK("https://www.boe.es/gazeta/dias/1817/06/14/pdfs/GMD-1817-71.pdf#page=8","Abrir facsímil")</f>
        <v>Abrir facsímil</v>
      </c>
      <c r="K132" s="3" t="s">
        <v>23</v>
      </c>
    </row>
    <row r="133" spans="1:11" ht="42" customHeight="1">
      <c r="A133" s="2" t="s">
        <v>425</v>
      </c>
      <c r="B133" s="2" t="s">
        <v>426</v>
      </c>
      <c r="C133" s="2" t="s">
        <v>17</v>
      </c>
      <c r="D133" s="2" t="s">
        <v>18</v>
      </c>
      <c r="E133" s="5">
        <v>-30118</v>
      </c>
      <c r="F133" s="3" t="s">
        <v>432</v>
      </c>
      <c r="G133" s="3" t="s">
        <v>433</v>
      </c>
      <c r="H133" s="2" t="s">
        <v>21</v>
      </c>
      <c r="I133" s="2" t="s">
        <v>434</v>
      </c>
      <c r="J133" s="3" t="str">
        <f>HYPERLINK("https://www.boe.es/gazeta/dias/1817/07/15/pdfs/GMD-1817-84.pdf#page=8","Abrir facsímil")</f>
        <v>Abrir facsímil</v>
      </c>
      <c r="K133" s="3" t="s">
        <v>23</v>
      </c>
    </row>
    <row r="134" spans="1:11" ht="42" customHeight="1">
      <c r="A134" s="2" t="s">
        <v>403</v>
      </c>
      <c r="B134" s="2" t="s">
        <v>404</v>
      </c>
      <c r="C134" s="2" t="s">
        <v>17</v>
      </c>
      <c r="D134" s="2" t="s">
        <v>18</v>
      </c>
      <c r="E134" s="5">
        <v>-30107</v>
      </c>
      <c r="F134" s="3" t="s">
        <v>307</v>
      </c>
      <c r="G134" s="3" t="s">
        <v>77</v>
      </c>
      <c r="H134" s="2" t="s">
        <v>21</v>
      </c>
      <c r="I134" s="2" t="s">
        <v>435</v>
      </c>
      <c r="J134" s="3" t="str">
        <f>HYPERLINK("https://www.boe.es/gazeta/dias/1817/07/26/pdfs/GMD-1817-89.pdf#page=8","Abrir facsímil")</f>
        <v>Abrir facsímil</v>
      </c>
      <c r="K134" s="3" t="s">
        <v>23</v>
      </c>
    </row>
    <row r="135" spans="1:11" ht="42" customHeight="1">
      <c r="A135" s="2" t="s">
        <v>403</v>
      </c>
      <c r="B135" s="2" t="s">
        <v>404</v>
      </c>
      <c r="C135" s="2" t="s">
        <v>17</v>
      </c>
      <c r="D135" s="2" t="s">
        <v>18</v>
      </c>
      <c r="E135" s="5">
        <v>-30100</v>
      </c>
      <c r="F135" s="3" t="s">
        <v>436</v>
      </c>
      <c r="G135" s="3" t="s">
        <v>77</v>
      </c>
      <c r="H135" s="2" t="s">
        <v>21</v>
      </c>
      <c r="I135" s="2" t="s">
        <v>437</v>
      </c>
      <c r="J135" s="3" t="str">
        <f>HYPERLINK("https://www.boe.es/gazeta/dias/1817/08/02/pdfs/GMD-1817-92.pdf#page=8","Abrir facsímil")</f>
        <v>Abrir facsímil</v>
      </c>
      <c r="K135" s="3" t="s">
        <v>23</v>
      </c>
    </row>
    <row r="136" spans="1:11" ht="42" customHeight="1">
      <c r="A136" s="2" t="s">
        <v>403</v>
      </c>
      <c r="B136" s="2" t="s">
        <v>404</v>
      </c>
      <c r="C136" s="2" t="s">
        <v>17</v>
      </c>
      <c r="D136" s="2" t="s">
        <v>18</v>
      </c>
      <c r="E136" s="5">
        <v>-30086</v>
      </c>
      <c r="F136" s="3" t="s">
        <v>221</v>
      </c>
      <c r="G136" s="3" t="s">
        <v>222</v>
      </c>
      <c r="H136" s="2" t="s">
        <v>21</v>
      </c>
      <c r="I136" s="2" t="s">
        <v>438</v>
      </c>
      <c r="J136" s="3" t="str">
        <f>HYPERLINK("https://www.boe.es/gazeta/dias/1817/08/16/pdfs/GMD-1817-98.pdf#page=8","Abrir facsímil")</f>
        <v>Abrir facsímil</v>
      </c>
      <c r="K136" s="3" t="s">
        <v>23</v>
      </c>
    </row>
    <row r="137" spans="1:11" ht="42" customHeight="1">
      <c r="A137" s="2" t="s">
        <v>403</v>
      </c>
      <c r="B137" s="2" t="s">
        <v>404</v>
      </c>
      <c r="C137" s="2" t="s">
        <v>17</v>
      </c>
      <c r="D137" s="2" t="s">
        <v>18</v>
      </c>
      <c r="E137" s="5">
        <v>-30076</v>
      </c>
      <c r="F137" s="3" t="s">
        <v>439</v>
      </c>
      <c r="G137" s="3" t="s">
        <v>77</v>
      </c>
      <c r="H137" s="2" t="s">
        <v>21</v>
      </c>
      <c r="I137" s="2" t="s">
        <v>440</v>
      </c>
      <c r="J137" s="3" t="str">
        <f>HYPERLINK("https://www.boe.es/gazeta/dias/1817/08/26/pdfs/GMD-1817-102.pdf#page=8","Abrir facsímil")</f>
        <v>Abrir facsímil</v>
      </c>
      <c r="K137" s="3" t="s">
        <v>23</v>
      </c>
    </row>
    <row r="138" spans="1:11" ht="42" customHeight="1">
      <c r="A138" s="2" t="s">
        <v>403</v>
      </c>
      <c r="B138" s="2" t="s">
        <v>404</v>
      </c>
      <c r="C138" s="2" t="s">
        <v>17</v>
      </c>
      <c r="D138" s="2" t="s">
        <v>18</v>
      </c>
      <c r="E138" s="5">
        <v>-30074</v>
      </c>
      <c r="F138" s="3" t="s">
        <v>368</v>
      </c>
      <c r="G138" s="3" t="s">
        <v>369</v>
      </c>
      <c r="H138" s="2" t="s">
        <v>21</v>
      </c>
      <c r="I138" s="2" t="s">
        <v>441</v>
      </c>
      <c r="J138" s="3" t="str">
        <f>HYPERLINK("https://www.boe.es/gazeta/dias/1817/08/28/pdfs/GMD-1817-103.pdf#page=12","Abrir facsímil")</f>
        <v>Abrir facsímil</v>
      </c>
      <c r="K138" s="3" t="s">
        <v>23</v>
      </c>
    </row>
    <row r="139" spans="1:11" ht="42" customHeight="1">
      <c r="A139" s="2" t="s">
        <v>403</v>
      </c>
      <c r="B139" s="2" t="s">
        <v>404</v>
      </c>
      <c r="C139" s="2" t="s">
        <v>17</v>
      </c>
      <c r="D139" s="2" t="s">
        <v>18</v>
      </c>
      <c r="E139" s="5">
        <v>-30072</v>
      </c>
      <c r="F139" s="3" t="s">
        <v>442</v>
      </c>
      <c r="G139" s="3" t="s">
        <v>20</v>
      </c>
      <c r="H139" s="2" t="s">
        <v>21</v>
      </c>
      <c r="I139" s="2" t="s">
        <v>443</v>
      </c>
      <c r="J139" s="3" t="str">
        <f>HYPERLINK("https://www.boe.es/gazeta/dias/1817/08/30/pdfs/GMD-1817-104.pdf#page=7","Abrir facsímil")</f>
        <v>Abrir facsímil</v>
      </c>
      <c r="K139" s="3" t="s">
        <v>23</v>
      </c>
    </row>
    <row r="140" spans="1:11" ht="42" customHeight="1">
      <c r="A140" s="2" t="s">
        <v>403</v>
      </c>
      <c r="B140" s="2" t="s">
        <v>404</v>
      </c>
      <c r="C140" s="2" t="s">
        <v>36</v>
      </c>
      <c r="D140" s="2" t="s">
        <v>37</v>
      </c>
      <c r="E140" s="5">
        <v>-30062</v>
      </c>
      <c r="F140" s="3" t="s">
        <v>444</v>
      </c>
      <c r="G140" s="3" t="s">
        <v>82</v>
      </c>
      <c r="H140" s="2" t="s">
        <v>21</v>
      </c>
      <c r="I140" s="2" t="s">
        <v>445</v>
      </c>
      <c r="J140" s="3" t="str">
        <f>HYPERLINK("https://www.boe.es/gazeta/dias/1817/09/09/pdfs/GMD-1817-108.pdf#page=12","Abrir facsímil")</f>
        <v>Abrir facsímil</v>
      </c>
      <c r="K140" s="3" t="s">
        <v>23</v>
      </c>
    </row>
    <row r="141" spans="1:11" ht="42" customHeight="1">
      <c r="A141" s="2" t="s">
        <v>403</v>
      </c>
      <c r="B141" s="2" t="s">
        <v>404</v>
      </c>
      <c r="C141" s="2" t="s">
        <v>17</v>
      </c>
      <c r="D141" s="2" t="s">
        <v>18</v>
      </c>
      <c r="E141" s="5">
        <v>-30060</v>
      </c>
      <c r="F141" s="3" t="s">
        <v>446</v>
      </c>
      <c r="G141" s="3" t="s">
        <v>77</v>
      </c>
      <c r="H141" s="2" t="s">
        <v>21</v>
      </c>
      <c r="I141" s="2" t="s">
        <v>447</v>
      </c>
      <c r="J141" s="3" t="str">
        <f>HYPERLINK("https://www.boe.es/gazeta/dias/1817/09/11/pdfs/GMD-1817-109.pdf#page=8","Abrir facsímil")</f>
        <v>Abrir facsímil</v>
      </c>
      <c r="K141" s="3" t="s">
        <v>23</v>
      </c>
    </row>
    <row r="142" spans="1:11" ht="42" customHeight="1">
      <c r="A142" s="2" t="s">
        <v>403</v>
      </c>
      <c r="B142" s="2" t="s">
        <v>404</v>
      </c>
      <c r="C142" s="2" t="s">
        <v>17</v>
      </c>
      <c r="D142" s="2" t="s">
        <v>18</v>
      </c>
      <c r="E142" s="5">
        <v>-30053</v>
      </c>
      <c r="F142" s="3" t="s">
        <v>129</v>
      </c>
      <c r="G142" s="3" t="s">
        <v>82</v>
      </c>
      <c r="H142" s="2" t="s">
        <v>21</v>
      </c>
      <c r="I142" s="2" t="s">
        <v>448</v>
      </c>
      <c r="J142" s="3" t="str">
        <f>HYPERLINK("https://www.boe.es/gazeta/dias/1817/09/18/pdfs/GMD-1817-112.pdf#page=12","Abrir facsímil")</f>
        <v>Abrir facsímil</v>
      </c>
      <c r="K142" s="3" t="s">
        <v>23</v>
      </c>
    </row>
    <row r="143" spans="1:11" ht="42" customHeight="1">
      <c r="A143" s="2" t="s">
        <v>403</v>
      </c>
      <c r="B143" s="2" t="s">
        <v>404</v>
      </c>
      <c r="C143" s="2" t="s">
        <v>17</v>
      </c>
      <c r="D143" s="2" t="s">
        <v>18</v>
      </c>
      <c r="E143" s="5">
        <v>-30051</v>
      </c>
      <c r="F143" s="3" t="s">
        <v>26</v>
      </c>
      <c r="G143" s="3" t="s">
        <v>77</v>
      </c>
      <c r="H143" s="2" t="s">
        <v>21</v>
      </c>
      <c r="I143" s="2" t="s">
        <v>449</v>
      </c>
      <c r="J143" s="3" t="str">
        <f>HYPERLINK("https://www.boe.es/gazeta/dias/1817/09/20/pdfs/GMD-1817-113.pdf#page=8","Abrir facsímil")</f>
        <v>Abrir facsímil</v>
      </c>
      <c r="K143" s="3" t="s">
        <v>23</v>
      </c>
    </row>
    <row r="144" spans="1:11" ht="42" customHeight="1">
      <c r="A144" s="2" t="s">
        <v>403</v>
      </c>
      <c r="B144" s="2" t="s">
        <v>404</v>
      </c>
      <c r="C144" s="2" t="s">
        <v>17</v>
      </c>
      <c r="D144" s="2" t="s">
        <v>18</v>
      </c>
      <c r="E144" s="5">
        <v>-30044</v>
      </c>
      <c r="F144" s="3" t="s">
        <v>450</v>
      </c>
      <c r="G144" s="3" t="s">
        <v>451</v>
      </c>
      <c r="H144" s="2" t="s">
        <v>21</v>
      </c>
      <c r="I144" s="2" t="s">
        <v>452</v>
      </c>
      <c r="J144" s="3" t="str">
        <f>HYPERLINK("https://www.boe.es/gazeta/dias/1817/09/27/pdfs/GMD-1817-116.pdf#page=8","Abrir facsímil")</f>
        <v>Abrir facsímil</v>
      </c>
      <c r="K144" s="3" t="s">
        <v>23</v>
      </c>
    </row>
    <row r="145" spans="1:11" ht="42" customHeight="1">
      <c r="A145" s="2" t="s">
        <v>425</v>
      </c>
      <c r="B145" s="2" t="s">
        <v>426</v>
      </c>
      <c r="C145" s="2" t="s">
        <v>49</v>
      </c>
      <c r="D145" s="2" t="s">
        <v>44</v>
      </c>
      <c r="E145" s="5">
        <v>-30037</v>
      </c>
      <c r="F145" s="3" t="s">
        <v>453</v>
      </c>
      <c r="G145" s="3" t="s">
        <v>77</v>
      </c>
      <c r="H145" s="2" t="s">
        <v>21</v>
      </c>
      <c r="I145" s="2" t="s">
        <v>454</v>
      </c>
      <c r="J145" s="3" t="str">
        <f>HYPERLINK("https://www.boe.es/gazeta/dias/1817/10/04/pdfs/GMD-1817-119.pdf#page=8","Abrir facsímil")</f>
        <v>Abrir facsímil</v>
      </c>
      <c r="K145" s="3" t="s">
        <v>23</v>
      </c>
    </row>
    <row r="146" spans="1:11" ht="42" customHeight="1">
      <c r="A146" s="2" t="s">
        <v>403</v>
      </c>
      <c r="B146" s="2" t="s">
        <v>404</v>
      </c>
      <c r="C146" s="2" t="s">
        <v>17</v>
      </c>
      <c r="D146" s="2" t="s">
        <v>18</v>
      </c>
      <c r="E146" s="5">
        <v>-30034</v>
      </c>
      <c r="F146" s="3" t="s">
        <v>270</v>
      </c>
      <c r="G146" s="3" t="s">
        <v>271</v>
      </c>
      <c r="H146" s="2" t="s">
        <v>21</v>
      </c>
      <c r="I146" s="2" t="s">
        <v>455</v>
      </c>
      <c r="J146" s="3" t="str">
        <f>HYPERLINK("https://www.boe.es/gazeta/dias/1817/10/07/pdfs/GMD-1817-120.pdf#page=8","Abrir facsímil")</f>
        <v>Abrir facsímil</v>
      </c>
      <c r="K146" s="3" t="s">
        <v>23</v>
      </c>
    </row>
    <row r="147" spans="1:11" ht="42" customHeight="1">
      <c r="A147" s="2" t="s">
        <v>425</v>
      </c>
      <c r="B147" s="2" t="s">
        <v>426</v>
      </c>
      <c r="C147" s="2" t="s">
        <v>17</v>
      </c>
      <c r="D147" s="2" t="s">
        <v>18</v>
      </c>
      <c r="E147" s="5">
        <v>-30032</v>
      </c>
      <c r="F147" s="3" t="s">
        <v>337</v>
      </c>
      <c r="G147" s="3" t="s">
        <v>77</v>
      </c>
      <c r="H147" s="2" t="s">
        <v>21</v>
      </c>
      <c r="I147" s="2" t="s">
        <v>456</v>
      </c>
      <c r="J147" s="3" t="str">
        <f>HYPERLINK("https://www.boe.es/gazeta/dias/1817/10/09/pdfs/GMD-1817-121.pdf#page=8","Abrir facsímil")</f>
        <v>Abrir facsímil</v>
      </c>
      <c r="K147" s="3" t="s">
        <v>23</v>
      </c>
    </row>
    <row r="148" spans="1:11" ht="42" customHeight="1">
      <c r="A148" s="2" t="s">
        <v>403</v>
      </c>
      <c r="B148" s="2" t="s">
        <v>404</v>
      </c>
      <c r="C148" s="2" t="s">
        <v>17</v>
      </c>
      <c r="D148" s="2" t="s">
        <v>18</v>
      </c>
      <c r="E148" s="5">
        <v>-30027</v>
      </c>
      <c r="F148" s="3" t="s">
        <v>173</v>
      </c>
      <c r="G148" s="3" t="s">
        <v>20</v>
      </c>
      <c r="H148" s="2" t="s">
        <v>21</v>
      </c>
      <c r="I148" s="2" t="s">
        <v>457</v>
      </c>
      <c r="J148" s="3" t="str">
        <f>HYPERLINK("https://www.boe.es/gazeta/dias/1817/10/14/pdfs/GMD-1817-123.pdf#page=7","Abrir facsímil")</f>
        <v>Abrir facsímil</v>
      </c>
      <c r="K148" s="3" t="s">
        <v>23</v>
      </c>
    </row>
    <row r="149" spans="1:11" ht="42" customHeight="1">
      <c r="A149" s="2" t="s">
        <v>403</v>
      </c>
      <c r="B149" s="2" t="s">
        <v>404</v>
      </c>
      <c r="C149" s="2" t="s">
        <v>17</v>
      </c>
      <c r="D149" s="2" t="s">
        <v>18</v>
      </c>
      <c r="E149" s="5">
        <v>-30025</v>
      </c>
      <c r="F149" s="3" t="s">
        <v>458</v>
      </c>
      <c r="G149" s="3" t="s">
        <v>77</v>
      </c>
      <c r="H149" s="2" t="s">
        <v>21</v>
      </c>
      <c r="I149" s="2" t="s">
        <v>459</v>
      </c>
      <c r="J149" s="3" t="str">
        <f>HYPERLINK("https://www.boe.es/gazeta/dias/1817/10/16/pdfs/GMD-1817-124.pdf#page=8","Abrir facsímil")</f>
        <v>Abrir facsímil</v>
      </c>
      <c r="K149" s="3" t="s">
        <v>23</v>
      </c>
    </row>
    <row r="150" spans="1:11" ht="42" customHeight="1">
      <c r="A150" s="2" t="s">
        <v>403</v>
      </c>
      <c r="B150" s="2" t="s">
        <v>404</v>
      </c>
      <c r="C150" s="2" t="s">
        <v>17</v>
      </c>
      <c r="D150" s="2" t="s">
        <v>18</v>
      </c>
      <c r="E150" s="5">
        <v>-30023</v>
      </c>
      <c r="F150" s="3" t="s">
        <v>460</v>
      </c>
      <c r="G150" s="3" t="s">
        <v>461</v>
      </c>
      <c r="H150" s="2" t="s">
        <v>21</v>
      </c>
      <c r="I150" s="2" t="s">
        <v>462</v>
      </c>
      <c r="J150" s="3" t="str">
        <f>HYPERLINK("https://www.boe.es/gazeta/dias/1817/10/18/pdfs/GMD-1817-125.pdf#page=8","Abrir facsímil")</f>
        <v>Abrir facsímil</v>
      </c>
      <c r="K150" s="3" t="s">
        <v>23</v>
      </c>
    </row>
    <row r="151" spans="1:11" ht="42" customHeight="1">
      <c r="A151" s="2" t="s">
        <v>403</v>
      </c>
      <c r="B151" s="2" t="s">
        <v>404</v>
      </c>
      <c r="C151" s="2" t="s">
        <v>17</v>
      </c>
      <c r="D151" s="2" t="s">
        <v>18</v>
      </c>
      <c r="E151" s="5">
        <v>-30023</v>
      </c>
      <c r="F151" s="3" t="s">
        <v>460</v>
      </c>
      <c r="G151" s="3" t="s">
        <v>20</v>
      </c>
      <c r="H151" s="2" t="s">
        <v>21</v>
      </c>
      <c r="I151" s="2" t="s">
        <v>463</v>
      </c>
      <c r="J151" s="3" t="str">
        <f>HYPERLINK("https://www.boe.es/gazeta/dias/1817/10/18/pdfs/GMD-1817-125.pdf#page=7","Abrir facsímil")</f>
        <v>Abrir facsímil</v>
      </c>
      <c r="K151" s="3" t="s">
        <v>23</v>
      </c>
    </row>
    <row r="152" spans="1:11" ht="42" customHeight="1">
      <c r="A152" s="2" t="s">
        <v>403</v>
      </c>
      <c r="B152" s="2" t="s">
        <v>404</v>
      </c>
      <c r="C152" s="2" t="s">
        <v>55</v>
      </c>
      <c r="D152" s="2" t="s">
        <v>44</v>
      </c>
      <c r="E152" s="5">
        <v>-30013</v>
      </c>
      <c r="F152" s="3" t="s">
        <v>464</v>
      </c>
      <c r="G152" s="3" t="s">
        <v>465</v>
      </c>
      <c r="H152" s="2" t="s">
        <v>21</v>
      </c>
      <c r="I152" s="2" t="s">
        <v>466</v>
      </c>
      <c r="J152" s="3" t="str">
        <f>HYPERLINK("https://www.boe.es/gazeta/dias/1817/10/28/pdfs/GMD-1817-129.pdf#page=7","Abrir facsímil")</f>
        <v>Abrir facsímil</v>
      </c>
      <c r="K152" s="3" t="s">
        <v>23</v>
      </c>
    </row>
    <row r="153" spans="1:11" ht="42" customHeight="1">
      <c r="A153" s="2" t="s">
        <v>403</v>
      </c>
      <c r="B153" s="2" t="s">
        <v>404</v>
      </c>
      <c r="C153" s="2" t="s">
        <v>17</v>
      </c>
      <c r="D153" s="2" t="s">
        <v>18</v>
      </c>
      <c r="E153" s="5">
        <v>-30011</v>
      </c>
      <c r="F153" s="3" t="s">
        <v>313</v>
      </c>
      <c r="G153" s="3" t="s">
        <v>82</v>
      </c>
      <c r="H153" s="2" t="s">
        <v>21</v>
      </c>
      <c r="I153" s="2" t="s">
        <v>467</v>
      </c>
      <c r="J153" s="3" t="str">
        <f>HYPERLINK("https://www.boe.es/gazeta/dias/1817/10/30/pdfs/GMD-1817-130.pdf#page=12","Abrir facsímil")</f>
        <v>Abrir facsímil</v>
      </c>
      <c r="K153" s="3" t="s">
        <v>23</v>
      </c>
    </row>
    <row r="154" spans="1:11" ht="42" customHeight="1">
      <c r="A154" s="2" t="s">
        <v>403</v>
      </c>
      <c r="B154" s="2" t="s">
        <v>404</v>
      </c>
      <c r="C154" s="2" t="s">
        <v>17</v>
      </c>
      <c r="D154" s="2" t="s">
        <v>18</v>
      </c>
      <c r="E154" s="5">
        <v>-30004</v>
      </c>
      <c r="F154" s="3" t="s">
        <v>329</v>
      </c>
      <c r="G154" s="3" t="s">
        <v>77</v>
      </c>
      <c r="H154" s="2" t="s">
        <v>21</v>
      </c>
      <c r="I154" s="2" t="s">
        <v>468</v>
      </c>
      <c r="J154" s="3" t="str">
        <f>HYPERLINK("https://www.boe.es/gazeta/dias/1817/11/06/pdfs/GMD-1817-133.pdf#page=8","Abrir facsímil")</f>
        <v>Abrir facsímil</v>
      </c>
      <c r="K154" s="3" t="s">
        <v>23</v>
      </c>
    </row>
    <row r="155" spans="1:11" ht="42" customHeight="1">
      <c r="A155" s="2" t="s">
        <v>403</v>
      </c>
      <c r="B155" s="2" t="s">
        <v>404</v>
      </c>
      <c r="C155" s="2" t="s">
        <v>17</v>
      </c>
      <c r="D155" s="2" t="s">
        <v>18</v>
      </c>
      <c r="E155" s="5">
        <v>-30002</v>
      </c>
      <c r="F155" s="3" t="s">
        <v>469</v>
      </c>
      <c r="G155" s="3" t="s">
        <v>77</v>
      </c>
      <c r="H155" s="2" t="s">
        <v>21</v>
      </c>
      <c r="I155" s="2" t="s">
        <v>470</v>
      </c>
      <c r="J155" s="3" t="str">
        <f>HYPERLINK("https://www.boe.es/gazeta/dias/1817/11/08/pdfs/GMD-1817-134.pdf#page=8","Abrir facsímil")</f>
        <v>Abrir facsímil</v>
      </c>
      <c r="K155" s="3" t="s">
        <v>23</v>
      </c>
    </row>
    <row r="156" spans="1:11" ht="42" customHeight="1">
      <c r="A156" s="2" t="s">
        <v>403</v>
      </c>
      <c r="B156" s="2" t="s">
        <v>404</v>
      </c>
      <c r="C156" s="2" t="s">
        <v>17</v>
      </c>
      <c r="D156" s="2" t="s">
        <v>18</v>
      </c>
      <c r="E156" s="5">
        <v>-29999</v>
      </c>
      <c r="F156" s="3" t="s">
        <v>471</v>
      </c>
      <c r="G156" s="3" t="s">
        <v>472</v>
      </c>
      <c r="H156" s="2" t="s">
        <v>21</v>
      </c>
      <c r="I156" s="2" t="s">
        <v>473</v>
      </c>
      <c r="J156" s="3" t="str">
        <f>HYPERLINK("https://www.boe.es/gazeta/dias/1817/11/11/pdfs/GMD-1817-135.pdf#page=16","Abrir facsímil")</f>
        <v>Abrir facsímil</v>
      </c>
      <c r="K156" s="3" t="s">
        <v>23</v>
      </c>
    </row>
    <row r="157" spans="1:11" ht="42" customHeight="1">
      <c r="A157" s="2" t="s">
        <v>425</v>
      </c>
      <c r="B157" s="2" t="s">
        <v>426</v>
      </c>
      <c r="C157" s="2" t="s">
        <v>17</v>
      </c>
      <c r="D157" s="2" t="s">
        <v>18</v>
      </c>
      <c r="E157" s="5">
        <v>-29992</v>
      </c>
      <c r="F157" s="3" t="s">
        <v>50</v>
      </c>
      <c r="G157" s="3" t="s">
        <v>51</v>
      </c>
      <c r="H157" s="2" t="s">
        <v>21</v>
      </c>
      <c r="I157" s="2" t="s">
        <v>474</v>
      </c>
      <c r="J157" s="3" t="str">
        <f>HYPERLINK("https://www.boe.es/gazeta/dias/1817/11/18/pdfs/GMD-1817-138.pdf#page=8","Abrir facsímil")</f>
        <v>Abrir facsímil</v>
      </c>
      <c r="K157" s="3" t="s">
        <v>23</v>
      </c>
    </row>
    <row r="158" spans="1:11" ht="42" customHeight="1">
      <c r="A158" s="2" t="s">
        <v>403</v>
      </c>
      <c r="B158" s="2" t="s">
        <v>404</v>
      </c>
      <c r="C158" s="2" t="s">
        <v>17</v>
      </c>
      <c r="D158" s="2" t="s">
        <v>18</v>
      </c>
      <c r="E158" s="5">
        <v>-29985</v>
      </c>
      <c r="F158" s="3" t="s">
        <v>76</v>
      </c>
      <c r="G158" s="3" t="s">
        <v>82</v>
      </c>
      <c r="H158" s="2" t="s">
        <v>21</v>
      </c>
      <c r="I158" s="2" t="s">
        <v>475</v>
      </c>
      <c r="J158" s="3" t="str">
        <f>HYPERLINK("https://www.boe.es/gazeta/dias/1817/11/25/pdfs/GMD-1817-141.pdf#page=12","Abrir facsímil")</f>
        <v>Abrir facsímil</v>
      </c>
      <c r="K158" s="3" t="s">
        <v>23</v>
      </c>
    </row>
    <row r="159" spans="1:11" ht="42" customHeight="1">
      <c r="A159" s="2" t="s">
        <v>403</v>
      </c>
      <c r="B159" s="2" t="s">
        <v>404</v>
      </c>
      <c r="C159" s="2" t="s">
        <v>17</v>
      </c>
      <c r="D159" s="2" t="s">
        <v>18</v>
      </c>
      <c r="E159" s="5">
        <v>-29983</v>
      </c>
      <c r="F159" s="3" t="s">
        <v>148</v>
      </c>
      <c r="G159" s="3" t="s">
        <v>149</v>
      </c>
      <c r="H159" s="2" t="s">
        <v>21</v>
      </c>
      <c r="I159" s="2" t="s">
        <v>476</v>
      </c>
      <c r="J159" s="3" t="str">
        <f>HYPERLINK("https://www.boe.es/gazeta/dias/1817/11/27/pdfs/GMD-1817-142.pdf#page=8","Abrir facsímil")</f>
        <v>Abrir facsímil</v>
      </c>
      <c r="K159" s="3" t="s">
        <v>23</v>
      </c>
    </row>
    <row r="160" spans="1:11" ht="42" customHeight="1">
      <c r="A160" s="2" t="s">
        <v>403</v>
      </c>
      <c r="B160" s="2" t="s">
        <v>404</v>
      </c>
      <c r="C160" s="2" t="s">
        <v>17</v>
      </c>
      <c r="D160" s="2" t="s">
        <v>18</v>
      </c>
      <c r="E160" s="5">
        <v>-29981</v>
      </c>
      <c r="F160" s="3" t="s">
        <v>111</v>
      </c>
      <c r="G160" s="3" t="s">
        <v>82</v>
      </c>
      <c r="H160" s="2" t="s">
        <v>21</v>
      </c>
      <c r="I160" s="2" t="s">
        <v>477</v>
      </c>
      <c r="J160" s="3" t="str">
        <f>HYPERLINK("https://www.boe.es/gazeta/dias/1817/11/29/pdfs/GMD-1817-143.pdf#page=12","Abrir facsímil")</f>
        <v>Abrir facsímil</v>
      </c>
      <c r="K160" s="3" t="s">
        <v>23</v>
      </c>
    </row>
    <row r="161" spans="1:11" ht="42" customHeight="1">
      <c r="A161" s="2" t="s">
        <v>403</v>
      </c>
      <c r="B161" s="2" t="s">
        <v>404</v>
      </c>
      <c r="C161" s="2" t="s">
        <v>36</v>
      </c>
      <c r="D161" s="2" t="s">
        <v>37</v>
      </c>
      <c r="E161" s="5">
        <v>-29978</v>
      </c>
      <c r="F161" s="3" t="s">
        <v>478</v>
      </c>
      <c r="G161" s="3" t="s">
        <v>82</v>
      </c>
      <c r="H161" s="2" t="s">
        <v>21</v>
      </c>
      <c r="I161" s="2" t="s">
        <v>479</v>
      </c>
      <c r="J161" s="3" t="str">
        <f>HYPERLINK("https://www.boe.es/gazeta/dias/1817/12/02/pdfs/GMD-1817-144.pdf#page=12","Abrir facsímil")</f>
        <v>Abrir facsímil</v>
      </c>
      <c r="K161" s="3" t="s">
        <v>23</v>
      </c>
    </row>
    <row r="162" spans="1:11" ht="42" customHeight="1">
      <c r="A162" s="2" t="s">
        <v>403</v>
      </c>
      <c r="B162" s="2" t="s">
        <v>404</v>
      </c>
      <c r="C162" s="2" t="s">
        <v>17</v>
      </c>
      <c r="D162" s="2" t="s">
        <v>18</v>
      </c>
      <c r="E162" s="5">
        <v>-29974</v>
      </c>
      <c r="F162" s="3" t="s">
        <v>32</v>
      </c>
      <c r="G162" s="3" t="s">
        <v>20</v>
      </c>
      <c r="H162" s="2" t="s">
        <v>21</v>
      </c>
      <c r="I162" s="2" t="s">
        <v>480</v>
      </c>
      <c r="J162" s="3" t="str">
        <f>HYPERLINK("https://www.boe.es/gazeta/dias/1817/12/06/pdfs/GMD-1817-146.pdf#page=7","Abrir facsímil")</f>
        <v>Abrir facsímil</v>
      </c>
      <c r="K162" s="3" t="s">
        <v>23</v>
      </c>
    </row>
    <row r="163" spans="1:11" ht="42" customHeight="1">
      <c r="A163" s="2" t="s">
        <v>403</v>
      </c>
      <c r="B163" s="2" t="s">
        <v>404</v>
      </c>
      <c r="C163" s="2" t="s">
        <v>17</v>
      </c>
      <c r="D163" s="2" t="s">
        <v>18</v>
      </c>
      <c r="E163" s="5">
        <v>-29967</v>
      </c>
      <c r="F163" s="3" t="s">
        <v>183</v>
      </c>
      <c r="G163" s="3" t="s">
        <v>77</v>
      </c>
      <c r="H163" s="2" t="s">
        <v>21</v>
      </c>
      <c r="I163" s="2" t="s">
        <v>481</v>
      </c>
      <c r="J163" s="3" t="str">
        <f>HYPERLINK("https://www.boe.es/gazeta/dias/1817/12/13/pdfs/GMD-1817-149.pdf#page=8","Abrir facsímil")</f>
        <v>Abrir facsímil</v>
      </c>
      <c r="K163" s="3" t="s">
        <v>23</v>
      </c>
    </row>
    <row r="164" spans="1:11" ht="42" customHeight="1">
      <c r="A164" s="2" t="s">
        <v>403</v>
      </c>
      <c r="B164" s="2" t="s">
        <v>404</v>
      </c>
      <c r="C164" s="2" t="s">
        <v>17</v>
      </c>
      <c r="D164" s="2" t="s">
        <v>18</v>
      </c>
      <c r="E164" s="5">
        <v>-29964</v>
      </c>
      <c r="F164" s="3" t="s">
        <v>482</v>
      </c>
      <c r="G164" s="3" t="s">
        <v>483</v>
      </c>
      <c r="H164" s="2" t="s">
        <v>21</v>
      </c>
      <c r="I164" s="2" t="s">
        <v>484</v>
      </c>
      <c r="J164" s="3" t="str">
        <f>HYPERLINK("https://www.boe.es/gazeta/dias/1817/12/16/pdfs/GMD-1817-150.pdf#page=12","Abrir facsímil")</f>
        <v>Abrir facsímil</v>
      </c>
      <c r="K164" s="3" t="s">
        <v>23</v>
      </c>
    </row>
    <row r="165" spans="1:11" ht="42" customHeight="1">
      <c r="A165" s="2" t="s">
        <v>403</v>
      </c>
      <c r="B165" s="2" t="s">
        <v>404</v>
      </c>
      <c r="C165" s="2" t="s">
        <v>17</v>
      </c>
      <c r="D165" s="2" t="s">
        <v>18</v>
      </c>
      <c r="E165" s="5">
        <v>-29962</v>
      </c>
      <c r="F165" s="3" t="s">
        <v>485</v>
      </c>
      <c r="G165" s="3" t="s">
        <v>77</v>
      </c>
      <c r="H165" s="2" t="s">
        <v>21</v>
      </c>
      <c r="I165" s="2" t="s">
        <v>486</v>
      </c>
      <c r="J165" s="3" t="str">
        <f>HYPERLINK("https://www.boe.es/gazeta/dias/1817/12/18/pdfs/GMD-1817-151.pdf#page=8","Abrir facsímil")</f>
        <v>Abrir facsímil</v>
      </c>
      <c r="K165" s="3" t="s">
        <v>23</v>
      </c>
    </row>
    <row r="166" spans="1:11" ht="42" customHeight="1">
      <c r="A166" s="2" t="s">
        <v>487</v>
      </c>
      <c r="B166" s="2" t="s">
        <v>488</v>
      </c>
      <c r="C166" s="2" t="s">
        <v>17</v>
      </c>
      <c r="D166" s="2" t="s">
        <v>18</v>
      </c>
      <c r="E166" s="5">
        <v>-30298</v>
      </c>
      <c r="F166" s="3" t="s">
        <v>489</v>
      </c>
      <c r="G166" s="3" t="s">
        <v>77</v>
      </c>
      <c r="H166" s="2" t="s">
        <v>21</v>
      </c>
      <c r="I166" s="2" t="s">
        <v>490</v>
      </c>
      <c r="J166" s="3" t="str">
        <f>HYPERLINK("https://www.boe.es/gazeta/dias/1817/01/16/pdfs/GMD-1817-7.pdf#page=8","Abrir facsímil")</f>
        <v>Abrir facsímil</v>
      </c>
      <c r="K166" s="3" t="s">
        <v>23</v>
      </c>
    </row>
    <row r="167" spans="1:11" ht="42" customHeight="1">
      <c r="A167" s="2" t="s">
        <v>487</v>
      </c>
      <c r="B167" s="2" t="s">
        <v>488</v>
      </c>
      <c r="C167" s="2" t="s">
        <v>17</v>
      </c>
      <c r="D167" s="2" t="s">
        <v>18</v>
      </c>
      <c r="E167" s="5">
        <v>-30296</v>
      </c>
      <c r="F167" s="3" t="s">
        <v>357</v>
      </c>
      <c r="G167" s="3" t="s">
        <v>112</v>
      </c>
      <c r="H167" s="2" t="s">
        <v>21</v>
      </c>
      <c r="I167" s="2" t="s">
        <v>491</v>
      </c>
      <c r="J167" s="3" t="str">
        <f>HYPERLINK("https://www.boe.es/gazeta/dias/1817/01/18/pdfs/GMD-1817-8.pdf#page=11","Abrir facsímil")</f>
        <v>Abrir facsímil</v>
      </c>
      <c r="K167" s="3" t="s">
        <v>23</v>
      </c>
    </row>
    <row r="168" spans="1:11" ht="42" customHeight="1">
      <c r="A168" s="2" t="s">
        <v>487</v>
      </c>
      <c r="B168" s="2" t="s">
        <v>488</v>
      </c>
      <c r="C168" s="2" t="s">
        <v>36</v>
      </c>
      <c r="D168" s="2" t="s">
        <v>37</v>
      </c>
      <c r="E168" s="5">
        <v>-30293</v>
      </c>
      <c r="F168" s="3" t="s">
        <v>143</v>
      </c>
      <c r="G168" s="3" t="s">
        <v>20</v>
      </c>
      <c r="H168" s="2" t="s">
        <v>21</v>
      </c>
      <c r="I168" s="2" t="s">
        <v>492</v>
      </c>
      <c r="J168" s="3" t="str">
        <f>HYPERLINK("https://www.boe.es/gazeta/dias/1817/01/21/pdfs/GMD-1817-9.pdf#page=7","Abrir facsímil")</f>
        <v>Abrir facsímil</v>
      </c>
      <c r="K168" s="3" t="s">
        <v>23</v>
      </c>
    </row>
    <row r="169" spans="1:11" ht="42" customHeight="1">
      <c r="A169" s="2" t="s">
        <v>487</v>
      </c>
      <c r="B169" s="2" t="s">
        <v>488</v>
      </c>
      <c r="C169" s="2" t="s">
        <v>17</v>
      </c>
      <c r="D169" s="2" t="s">
        <v>18</v>
      </c>
      <c r="E169" s="5">
        <v>-30272</v>
      </c>
      <c r="F169" s="3" t="s">
        <v>493</v>
      </c>
      <c r="G169" s="3" t="s">
        <v>77</v>
      </c>
      <c r="H169" s="2" t="s">
        <v>21</v>
      </c>
      <c r="I169" s="2" t="s">
        <v>494</v>
      </c>
      <c r="J169" s="3" t="str">
        <f>HYPERLINK("https://www.boe.es/gazeta/dias/1817/02/11/pdfs/GMD-1817-18.pdf#page=8","Abrir facsímil")</f>
        <v>Abrir facsímil</v>
      </c>
      <c r="K169" s="3" t="s">
        <v>23</v>
      </c>
    </row>
    <row r="170" spans="1:11" ht="42" customHeight="1">
      <c r="A170" s="2" t="s">
        <v>487</v>
      </c>
      <c r="B170" s="2" t="s">
        <v>488</v>
      </c>
      <c r="C170" s="2" t="s">
        <v>17</v>
      </c>
      <c r="D170" s="2" t="s">
        <v>18</v>
      </c>
      <c r="E170" s="5">
        <v>-30205</v>
      </c>
      <c r="F170" s="3" t="s">
        <v>139</v>
      </c>
      <c r="G170" s="3" t="s">
        <v>77</v>
      </c>
      <c r="H170" s="2" t="s">
        <v>21</v>
      </c>
      <c r="I170" s="2" t="s">
        <v>495</v>
      </c>
      <c r="J170" s="3" t="str">
        <f>HYPERLINK("https://www.boe.es/gazeta/dias/1817/04/19/pdfs/GMD-1817-47.pdf#page=8","Abrir facsímil")</f>
        <v>Abrir facsímil</v>
      </c>
      <c r="K170" s="3" t="s">
        <v>23</v>
      </c>
    </row>
    <row r="171" spans="1:11" ht="42" customHeight="1">
      <c r="A171" s="2" t="s">
        <v>487</v>
      </c>
      <c r="B171" s="2" t="s">
        <v>488</v>
      </c>
      <c r="C171" s="2" t="s">
        <v>17</v>
      </c>
      <c r="D171" s="2" t="s">
        <v>18</v>
      </c>
      <c r="E171" s="5">
        <v>-30149</v>
      </c>
      <c r="F171" s="3" t="s">
        <v>430</v>
      </c>
      <c r="G171" s="3" t="s">
        <v>77</v>
      </c>
      <c r="H171" s="2" t="s">
        <v>21</v>
      </c>
      <c r="I171" s="2" t="s">
        <v>496</v>
      </c>
      <c r="J171" s="3" t="str">
        <f>HYPERLINK("https://www.boe.es/gazeta/dias/1817/06/14/pdfs/GMD-1817-71.pdf#page=8","Abrir facsímil")</f>
        <v>Abrir facsímil</v>
      </c>
      <c r="K171" s="3" t="s">
        <v>23</v>
      </c>
    </row>
    <row r="172" spans="1:11" ht="42" customHeight="1">
      <c r="A172" s="2" t="s">
        <v>487</v>
      </c>
      <c r="B172" s="2" t="s">
        <v>488</v>
      </c>
      <c r="C172" s="2" t="s">
        <v>17</v>
      </c>
      <c r="D172" s="2" t="s">
        <v>18</v>
      </c>
      <c r="E172" s="5">
        <v>-30142</v>
      </c>
      <c r="F172" s="3" t="s">
        <v>286</v>
      </c>
      <c r="G172" s="3" t="s">
        <v>497</v>
      </c>
      <c r="H172" s="2" t="s">
        <v>21</v>
      </c>
      <c r="I172" s="2" t="s">
        <v>498</v>
      </c>
      <c r="J172" s="3" t="str">
        <f>HYPERLINK("https://www.boe.es/gazeta/dias/1817/06/21/pdfs/GMD-1817-74.pdf#page=8","Abrir facsímil")</f>
        <v>Abrir facsímil</v>
      </c>
      <c r="K172" s="3" t="s">
        <v>23</v>
      </c>
    </row>
    <row r="173" spans="1:11" ht="42" customHeight="1">
      <c r="A173" s="2" t="s">
        <v>487</v>
      </c>
      <c r="B173" s="2" t="s">
        <v>488</v>
      </c>
      <c r="C173" s="2" t="s">
        <v>17</v>
      </c>
      <c r="D173" s="2" t="s">
        <v>18</v>
      </c>
      <c r="E173" s="5">
        <v>-30125</v>
      </c>
      <c r="F173" s="3" t="s">
        <v>102</v>
      </c>
      <c r="G173" s="3" t="s">
        <v>103</v>
      </c>
      <c r="H173" s="2" t="s">
        <v>21</v>
      </c>
      <c r="I173" s="2" t="s">
        <v>499</v>
      </c>
      <c r="J173" s="3" t="str">
        <f>HYPERLINK("https://www.boe.es/gazeta/dias/1817/07/08/pdfs/GMD-1817-81.pdf#page=12","Abrir facsímil")</f>
        <v>Abrir facsímil</v>
      </c>
      <c r="K173" s="3" t="s">
        <v>23</v>
      </c>
    </row>
    <row r="174" spans="1:11" ht="42" customHeight="1">
      <c r="A174" s="2" t="s">
        <v>487</v>
      </c>
      <c r="B174" s="2" t="s">
        <v>488</v>
      </c>
      <c r="C174" s="2" t="s">
        <v>17</v>
      </c>
      <c r="D174" s="2" t="s">
        <v>18</v>
      </c>
      <c r="E174" s="5">
        <v>-30114</v>
      </c>
      <c r="F174" s="3" t="s">
        <v>500</v>
      </c>
      <c r="G174" s="3" t="s">
        <v>77</v>
      </c>
      <c r="H174" s="2" t="s">
        <v>21</v>
      </c>
      <c r="I174" s="2" t="s">
        <v>501</v>
      </c>
      <c r="J174" s="3" t="str">
        <f>HYPERLINK("https://www.boe.es/gazeta/dias/1817/07/19/pdfs/GMD-1817-86.pdf#page=8","Abrir facsímil")</f>
        <v>Abrir facsímil</v>
      </c>
      <c r="K174" s="3" t="s">
        <v>23</v>
      </c>
    </row>
    <row r="175" spans="1:11" ht="42" customHeight="1">
      <c r="A175" s="2" t="s">
        <v>487</v>
      </c>
      <c r="B175" s="2" t="s">
        <v>488</v>
      </c>
      <c r="C175" s="2" t="s">
        <v>17</v>
      </c>
      <c r="D175" s="2" t="s">
        <v>18</v>
      </c>
      <c r="E175" s="5">
        <v>-30102</v>
      </c>
      <c r="F175" s="3" t="s">
        <v>502</v>
      </c>
      <c r="G175" s="3" t="s">
        <v>20</v>
      </c>
      <c r="H175" s="2" t="s">
        <v>21</v>
      </c>
      <c r="I175" s="2" t="s">
        <v>503</v>
      </c>
      <c r="J175" s="3" t="str">
        <f>HYPERLINK("https://www.boe.es/gazeta/dias/1817/07/31/pdfs/GMD-1817-91.pdf#page=7","Abrir facsímil")</f>
        <v>Abrir facsímil</v>
      </c>
      <c r="K175" s="3" t="s">
        <v>23</v>
      </c>
    </row>
    <row r="176" spans="1:11" ht="42" customHeight="1">
      <c r="A176" s="2" t="s">
        <v>504</v>
      </c>
      <c r="B176" s="2" t="s">
        <v>505</v>
      </c>
      <c r="C176" s="2" t="s">
        <v>36</v>
      </c>
      <c r="D176" s="2" t="s">
        <v>37</v>
      </c>
      <c r="E176" s="5">
        <v>-30046</v>
      </c>
      <c r="F176" s="3" t="s">
        <v>214</v>
      </c>
      <c r="G176" s="3" t="s">
        <v>275</v>
      </c>
      <c r="H176" s="2" t="s">
        <v>21</v>
      </c>
      <c r="I176" s="2" t="s">
        <v>506</v>
      </c>
      <c r="J176" s="3" t="str">
        <f>HYPERLINK("https://www.boe.es/gazeta/dias/1817/09/25/pdfs/GMD-1817-115.pdf#page=12","Abrir facsímil")</f>
        <v>Abrir facsímil</v>
      </c>
      <c r="K176" s="3" t="s">
        <v>23</v>
      </c>
    </row>
    <row r="177" spans="1:11" ht="42" customHeight="1">
      <c r="A177" s="2" t="s">
        <v>504</v>
      </c>
      <c r="B177" s="2" t="s">
        <v>505</v>
      </c>
      <c r="C177" s="2" t="s">
        <v>17</v>
      </c>
      <c r="D177" s="2" t="s">
        <v>18</v>
      </c>
      <c r="E177" s="5">
        <v>-30037</v>
      </c>
      <c r="F177" s="3" t="s">
        <v>453</v>
      </c>
      <c r="G177" s="3" t="s">
        <v>77</v>
      </c>
      <c r="H177" s="2" t="s">
        <v>21</v>
      </c>
      <c r="I177" s="2" t="s">
        <v>507</v>
      </c>
      <c r="J177" s="3" t="str">
        <f>HYPERLINK("https://www.boe.es/gazeta/dias/1817/10/04/pdfs/GMD-1817-119.pdf#page=8","Abrir facsímil")</f>
        <v>Abrir facsímil</v>
      </c>
      <c r="K177" s="3" t="s">
        <v>23</v>
      </c>
    </row>
    <row r="178" spans="1:11" ht="42" customHeight="1">
      <c r="A178" s="2" t="s">
        <v>487</v>
      </c>
      <c r="B178" s="2" t="s">
        <v>488</v>
      </c>
      <c r="C178" s="2" t="s">
        <v>138</v>
      </c>
      <c r="D178" s="2" t="s">
        <v>44</v>
      </c>
      <c r="E178" s="5">
        <v>-30030</v>
      </c>
      <c r="F178" s="3" t="s">
        <v>508</v>
      </c>
      <c r="G178" s="3" t="s">
        <v>82</v>
      </c>
      <c r="H178" s="2" t="s">
        <v>21</v>
      </c>
      <c r="I178" s="2" t="s">
        <v>509</v>
      </c>
      <c r="J178" s="3" t="str">
        <f>HYPERLINK("https://www.boe.es/gazeta/dias/1817/10/11/pdfs/GMD-1817-122.pdf#page=12","Abrir facsímil")</f>
        <v>Abrir facsímil</v>
      </c>
      <c r="K178" s="3" t="s">
        <v>23</v>
      </c>
    </row>
    <row r="179" spans="1:11" ht="42" customHeight="1">
      <c r="A179" s="2" t="s">
        <v>487</v>
      </c>
      <c r="B179" s="2" t="s">
        <v>488</v>
      </c>
      <c r="C179" s="2" t="s">
        <v>510</v>
      </c>
      <c r="D179" s="2" t="s">
        <v>44</v>
      </c>
      <c r="E179" s="5">
        <v>-30025</v>
      </c>
      <c r="F179" s="3" t="s">
        <v>458</v>
      </c>
      <c r="G179" s="3" t="s">
        <v>77</v>
      </c>
      <c r="H179" s="2" t="s">
        <v>21</v>
      </c>
      <c r="I179" s="2" t="s">
        <v>511</v>
      </c>
      <c r="J179" s="3" t="str">
        <f>HYPERLINK("https://www.boe.es/gazeta/dias/1817/10/16/pdfs/GMD-1817-124.pdf#page=8","Abrir facsímil")</f>
        <v>Abrir facsímil</v>
      </c>
      <c r="K179" s="3" t="s">
        <v>23</v>
      </c>
    </row>
    <row r="180" spans="1:11" ht="42" customHeight="1">
      <c r="A180" s="2" t="s">
        <v>487</v>
      </c>
      <c r="B180" s="2" t="s">
        <v>488</v>
      </c>
      <c r="C180" s="2" t="s">
        <v>43</v>
      </c>
      <c r="D180" s="2" t="s">
        <v>44</v>
      </c>
      <c r="E180" s="5">
        <v>-30009</v>
      </c>
      <c r="F180" s="3" t="s">
        <v>512</v>
      </c>
      <c r="G180" s="3" t="s">
        <v>77</v>
      </c>
      <c r="H180" s="2" t="s">
        <v>21</v>
      </c>
      <c r="I180" s="2" t="s">
        <v>513</v>
      </c>
      <c r="J180" s="3" t="str">
        <f>HYPERLINK("https://www.boe.es/gazeta/dias/1817/11/01/pdfs/GMD-1817-131.pdf#page=8","Abrir facsímil")</f>
        <v>Abrir facsímil</v>
      </c>
      <c r="K180" s="3" t="s">
        <v>23</v>
      </c>
    </row>
    <row r="181" spans="1:11" ht="42" customHeight="1">
      <c r="A181" s="2" t="s">
        <v>487</v>
      </c>
      <c r="B181" s="2" t="s">
        <v>488</v>
      </c>
      <c r="C181" s="2" t="s">
        <v>17</v>
      </c>
      <c r="D181" s="2" t="s">
        <v>18</v>
      </c>
      <c r="E181" s="5">
        <v>-29995</v>
      </c>
      <c r="F181" s="3" t="s">
        <v>514</v>
      </c>
      <c r="G181" s="3" t="s">
        <v>515</v>
      </c>
      <c r="H181" s="2" t="s">
        <v>21</v>
      </c>
      <c r="I181" s="2" t="s">
        <v>516</v>
      </c>
      <c r="J181" s="3" t="str">
        <f>HYPERLINK("https://www.boe.es/gazeta/dias/1817/11/15/pdfs/GMD-1817-137.pdf#page=8","Abrir facsímil")</f>
        <v>Abrir facsímil</v>
      </c>
      <c r="K181" s="3" t="s">
        <v>23</v>
      </c>
    </row>
    <row r="182" spans="1:11" ht="42" customHeight="1">
      <c r="A182" s="2" t="s">
        <v>487</v>
      </c>
      <c r="B182" s="2" t="s">
        <v>488</v>
      </c>
      <c r="C182" s="2" t="s">
        <v>17</v>
      </c>
      <c r="D182" s="2" t="s">
        <v>18</v>
      </c>
      <c r="E182" s="5">
        <v>-29971</v>
      </c>
      <c r="F182" s="3" t="s">
        <v>517</v>
      </c>
      <c r="G182" s="3" t="s">
        <v>112</v>
      </c>
      <c r="H182" s="2" t="s">
        <v>21</v>
      </c>
      <c r="I182" s="2" t="s">
        <v>518</v>
      </c>
      <c r="J182" s="3" t="str">
        <f>HYPERLINK("https://www.boe.es/gazeta/dias/1817/12/09/pdfs/GMD-1817-147.pdf#page=11","Abrir facsímil")</f>
        <v>Abrir facsímil</v>
      </c>
      <c r="K182" s="3" t="s">
        <v>23</v>
      </c>
    </row>
    <row r="183" spans="1:11" ht="42" customHeight="1">
      <c r="A183" s="2" t="s">
        <v>519</v>
      </c>
      <c r="B183" s="2" t="s">
        <v>520</v>
      </c>
      <c r="C183" s="2" t="s">
        <v>43</v>
      </c>
      <c r="D183" s="2" t="s">
        <v>44</v>
      </c>
      <c r="E183" s="5">
        <v>-30034</v>
      </c>
      <c r="F183" s="3" t="s">
        <v>270</v>
      </c>
      <c r="G183" s="3" t="s">
        <v>144</v>
      </c>
      <c r="H183" s="2" t="s">
        <v>21</v>
      </c>
      <c r="I183" s="2" t="s">
        <v>521</v>
      </c>
      <c r="J183" s="3" t="str">
        <f>HYPERLINK("https://www.boe.es/gazeta/dias/1817/10/07/pdfs/GMD-1817-120.pdf#page=4","Abrir facsímil")</f>
        <v>Abrir facsímil</v>
      </c>
      <c r="K183" s="3" t="s">
        <v>23</v>
      </c>
    </row>
    <row r="184" spans="1:11" ht="42" customHeight="1">
      <c r="A184" s="2" t="s">
        <v>522</v>
      </c>
      <c r="B184" s="2" t="s">
        <v>523</v>
      </c>
      <c r="C184" s="2" t="s">
        <v>43</v>
      </c>
      <c r="D184" s="2" t="s">
        <v>44</v>
      </c>
      <c r="E184" s="5">
        <v>-30079</v>
      </c>
      <c r="F184" s="3" t="s">
        <v>45</v>
      </c>
      <c r="G184" s="3" t="s">
        <v>39</v>
      </c>
      <c r="H184" s="2" t="s">
        <v>21</v>
      </c>
      <c r="I184" s="2" t="s">
        <v>524</v>
      </c>
      <c r="J184" s="3" t="str">
        <f>HYPERLINK("https://www.boe.es/gazeta/dias/1817/08/23/pdfs/GMD-1817-101.pdf#page=5","Abrir facsímil")</f>
        <v>Abrir facsímil</v>
      </c>
      <c r="K184" s="3" t="s">
        <v>23</v>
      </c>
    </row>
    <row r="185" spans="1:11" ht="42" customHeight="1">
      <c r="A185" s="2" t="s">
        <v>525</v>
      </c>
      <c r="B185" s="2" t="s">
        <v>526</v>
      </c>
      <c r="C185" s="2" t="s">
        <v>17</v>
      </c>
      <c r="D185" s="2" t="s">
        <v>18</v>
      </c>
      <c r="E185" s="5">
        <v>-30193</v>
      </c>
      <c r="F185" s="3" t="s">
        <v>38</v>
      </c>
      <c r="G185" s="3" t="s">
        <v>20</v>
      </c>
      <c r="H185" s="2" t="s">
        <v>21</v>
      </c>
      <c r="I185" s="2" t="s">
        <v>527</v>
      </c>
      <c r="J185" s="3" t="str">
        <f>HYPERLINK("https://www.boe.es/gazeta/dias/1817/05/01/pdfs/GMD-1817-52.pdf#page=7","Abrir facsímil")</f>
        <v>Abrir facsímil</v>
      </c>
      <c r="K185" s="3" t="s">
        <v>23</v>
      </c>
    </row>
    <row r="186" spans="1:11" ht="42" customHeight="1">
      <c r="A186" s="2" t="s">
        <v>525</v>
      </c>
      <c r="B186" s="2" t="s">
        <v>526</v>
      </c>
      <c r="C186" s="2" t="s">
        <v>17</v>
      </c>
      <c r="D186" s="2" t="s">
        <v>18</v>
      </c>
      <c r="E186" s="5">
        <v>-30188</v>
      </c>
      <c r="F186" s="3" t="s">
        <v>177</v>
      </c>
      <c r="G186" s="3" t="s">
        <v>77</v>
      </c>
      <c r="H186" s="2" t="s">
        <v>21</v>
      </c>
      <c r="I186" s="2" t="s">
        <v>528</v>
      </c>
      <c r="J186" s="3" t="str">
        <f>HYPERLINK("https://www.boe.es/gazeta/dias/1817/05/06/pdfs/GMD-1817-54.pdf#page=8","Abrir facsímil")</f>
        <v>Abrir facsímil</v>
      </c>
      <c r="K186" s="3" t="s">
        <v>23</v>
      </c>
    </row>
    <row r="187" spans="1:11" ht="42" customHeight="1">
      <c r="A187" s="2" t="s">
        <v>529</v>
      </c>
      <c r="B187" s="2" t="s">
        <v>530</v>
      </c>
      <c r="C187" s="2" t="s">
        <v>17</v>
      </c>
      <c r="D187" s="2" t="s">
        <v>18</v>
      </c>
      <c r="E187" s="5">
        <v>-30002</v>
      </c>
      <c r="F187" s="3" t="s">
        <v>469</v>
      </c>
      <c r="G187" s="3" t="s">
        <v>77</v>
      </c>
      <c r="H187" s="2" t="s">
        <v>21</v>
      </c>
      <c r="I187" s="2" t="s">
        <v>531</v>
      </c>
      <c r="J187" s="3" t="str">
        <f>HYPERLINK("https://www.boe.es/gazeta/dias/1817/11/08/pdfs/GMD-1817-134.pdf#page=8","Abrir facsímil")</f>
        <v>Abrir facsímil</v>
      </c>
      <c r="K187" s="3" t="s">
        <v>23</v>
      </c>
    </row>
    <row r="188" spans="1:11" ht="42" customHeight="1">
      <c r="A188" s="2" t="s">
        <v>532</v>
      </c>
      <c r="B188" s="2" t="s">
        <v>533</v>
      </c>
      <c r="C188" s="2" t="s">
        <v>17</v>
      </c>
      <c r="D188" s="2" t="s">
        <v>18</v>
      </c>
      <c r="E188" s="5">
        <v>-30158</v>
      </c>
      <c r="F188" s="3" t="s">
        <v>305</v>
      </c>
      <c r="G188" s="3" t="s">
        <v>20</v>
      </c>
      <c r="H188" s="2" t="s">
        <v>27</v>
      </c>
      <c r="I188" s="2" t="s">
        <v>534</v>
      </c>
      <c r="J188" s="3" t="str">
        <f>HYPERLINK("https://www.boe.es/gazeta/dias/1817/06/05/pdfs/GMD-1817-67.pdf#page=7","Abrir facsímil")</f>
        <v>Abrir facsímil</v>
      </c>
      <c r="K188" s="3" t="s">
        <v>29</v>
      </c>
    </row>
    <row r="189" spans="1:11" ht="42" customHeight="1">
      <c r="A189" s="2" t="s">
        <v>535</v>
      </c>
      <c r="B189" s="2" t="s">
        <v>536</v>
      </c>
      <c r="C189" s="2" t="s">
        <v>17</v>
      </c>
      <c r="D189" s="2" t="s">
        <v>18</v>
      </c>
      <c r="E189" s="5">
        <v>-29985</v>
      </c>
      <c r="F189" s="3" t="s">
        <v>76</v>
      </c>
      <c r="G189" s="3" t="s">
        <v>82</v>
      </c>
      <c r="H189" s="2" t="s">
        <v>21</v>
      </c>
      <c r="I189" s="2" t="s">
        <v>537</v>
      </c>
      <c r="J189" s="3" t="str">
        <f>HYPERLINK("https://www.boe.es/gazeta/dias/1817/11/25/pdfs/GMD-1817-141.pdf#page=12","Abrir facsímil")</f>
        <v>Abrir facsímil</v>
      </c>
      <c r="K189" s="3" t="s">
        <v>23</v>
      </c>
    </row>
    <row r="190" spans="1:11" ht="42" customHeight="1">
      <c r="A190" s="2" t="s">
        <v>538</v>
      </c>
      <c r="B190" s="2" t="s">
        <v>539</v>
      </c>
      <c r="C190" s="2" t="s">
        <v>43</v>
      </c>
      <c r="D190" s="2" t="s">
        <v>44</v>
      </c>
      <c r="E190" s="5">
        <v>-30013</v>
      </c>
      <c r="F190" s="3" t="s">
        <v>464</v>
      </c>
      <c r="G190" s="3" t="s">
        <v>39</v>
      </c>
      <c r="H190" s="2" t="s">
        <v>21</v>
      </c>
      <c r="I190" s="2" t="s">
        <v>540</v>
      </c>
      <c r="J190" s="3" t="str">
        <f>HYPERLINK("https://www.boe.es/gazeta/dias/1817/10/28/pdfs/GMD-1817-129.pdf#page=5","Abrir facsímil")</f>
        <v>Abrir facsímil</v>
      </c>
      <c r="K190" s="3" t="s">
        <v>23</v>
      </c>
    </row>
    <row r="191" spans="1:11" ht="42" customHeight="1">
      <c r="A191" s="2" t="s">
        <v>541</v>
      </c>
      <c r="B191" s="2" t="s">
        <v>541</v>
      </c>
      <c r="C191" s="2" t="s">
        <v>49</v>
      </c>
      <c r="D191" s="2" t="s">
        <v>44</v>
      </c>
      <c r="E191" s="5">
        <v>-29990</v>
      </c>
      <c r="F191" s="3" t="s">
        <v>542</v>
      </c>
      <c r="G191" s="3" t="s">
        <v>77</v>
      </c>
      <c r="H191" s="2" t="s">
        <v>21</v>
      </c>
      <c r="I191" s="2" t="s">
        <v>543</v>
      </c>
      <c r="J191" s="3" t="str">
        <f>HYPERLINK("https://www.boe.es/gazeta/dias/1817/11/20/pdfs/GMD-1817-139.pdf#page=8","Abrir facsímil")</f>
        <v>Abrir facsímil</v>
      </c>
      <c r="K191" s="3" t="s">
        <v>23</v>
      </c>
    </row>
    <row r="192" spans="1:11" ht="42" customHeight="1">
      <c r="A192" s="2" t="s">
        <v>544</v>
      </c>
      <c r="B192" s="2" t="s">
        <v>545</v>
      </c>
      <c r="C192" s="2" t="s">
        <v>43</v>
      </c>
      <c r="D192" s="2" t="s">
        <v>44</v>
      </c>
      <c r="E192" s="5">
        <v>-30079</v>
      </c>
      <c r="F192" s="3" t="s">
        <v>45</v>
      </c>
      <c r="G192" s="3" t="s">
        <v>39</v>
      </c>
      <c r="H192" s="2" t="s">
        <v>21</v>
      </c>
      <c r="I192" s="2" t="s">
        <v>546</v>
      </c>
      <c r="J192" s="3" t="str">
        <f>HYPERLINK("https://www.boe.es/gazeta/dias/1817/08/23/pdfs/GMD-1817-101.pdf#page=5","Abrir facsímil")</f>
        <v>Abrir facsímil</v>
      </c>
      <c r="K192" s="3" t="s">
        <v>23</v>
      </c>
    </row>
    <row r="193" spans="1:11" ht="42" customHeight="1">
      <c r="A193" s="2" t="s">
        <v>547</v>
      </c>
      <c r="B193" s="2" t="s">
        <v>548</v>
      </c>
      <c r="C193" s="2" t="s">
        <v>43</v>
      </c>
      <c r="D193" s="2" t="s">
        <v>44</v>
      </c>
      <c r="E193" s="5">
        <v>-30013</v>
      </c>
      <c r="F193" s="3" t="s">
        <v>464</v>
      </c>
      <c r="G193" s="3" t="s">
        <v>39</v>
      </c>
      <c r="H193" s="2" t="s">
        <v>21</v>
      </c>
      <c r="I193" s="2" t="s">
        <v>549</v>
      </c>
      <c r="J193" s="3" t="str">
        <f>HYPERLINK("https://www.boe.es/gazeta/dias/1817/10/28/pdfs/GMD-1817-129.pdf#page=5","Abrir facsímil")</f>
        <v>Abrir facsímil</v>
      </c>
      <c r="K193" s="3" t="s">
        <v>23</v>
      </c>
    </row>
    <row r="194" spans="1:11" ht="42" customHeight="1">
      <c r="A194" s="2" t="s">
        <v>550</v>
      </c>
      <c r="B194" s="2" t="s">
        <v>550</v>
      </c>
      <c r="C194" s="2" t="s">
        <v>43</v>
      </c>
      <c r="D194" s="2" t="s">
        <v>44</v>
      </c>
      <c r="E194" s="5">
        <v>-30118</v>
      </c>
      <c r="F194" s="3" t="s">
        <v>432</v>
      </c>
      <c r="G194" s="3" t="s">
        <v>551</v>
      </c>
      <c r="H194" s="2" t="s">
        <v>21</v>
      </c>
      <c r="I194" s="2" t="s">
        <v>552</v>
      </c>
      <c r="J194" s="3" t="str">
        <f>HYPERLINK("https://www.boe.es/gazeta/dias/1817/07/15/pdfs/GMD-1817-84.pdf#page=3","Abrir facsímil")</f>
        <v>Abrir facsímil</v>
      </c>
      <c r="K194" s="3" t="s">
        <v>23</v>
      </c>
    </row>
    <row r="195" spans="1:11" ht="42" customHeight="1">
      <c r="A195" s="2" t="s">
        <v>553</v>
      </c>
      <c r="B195" s="2" t="s">
        <v>554</v>
      </c>
      <c r="C195" s="2" t="s">
        <v>17</v>
      </c>
      <c r="D195" s="2" t="s">
        <v>18</v>
      </c>
      <c r="E195" s="5">
        <v>-30228</v>
      </c>
      <c r="F195" s="3" t="s">
        <v>383</v>
      </c>
      <c r="G195" s="3" t="s">
        <v>77</v>
      </c>
      <c r="H195" s="2" t="s">
        <v>21</v>
      </c>
      <c r="I195" s="2" t="s">
        <v>555</v>
      </c>
      <c r="J195" s="3" t="str">
        <f>HYPERLINK("https://www.boe.es/gazeta/dias/1817/03/27/pdfs/GMD-1817-37.pdf#page=8","Abrir facsímil")</f>
        <v>Abrir facsímil</v>
      </c>
      <c r="K195" s="3" t="s">
        <v>23</v>
      </c>
    </row>
    <row r="196" spans="1:11" ht="42" customHeight="1">
      <c r="A196" s="2" t="s">
        <v>556</v>
      </c>
      <c r="B196" s="2" t="s">
        <v>557</v>
      </c>
      <c r="C196" s="2" t="s">
        <v>17</v>
      </c>
      <c r="D196" s="2" t="s">
        <v>18</v>
      </c>
      <c r="E196" s="5">
        <v>-30039</v>
      </c>
      <c r="F196" s="3" t="s">
        <v>558</v>
      </c>
      <c r="G196" s="3" t="s">
        <v>77</v>
      </c>
      <c r="H196" s="2" t="s">
        <v>21</v>
      </c>
      <c r="I196" s="2" t="s">
        <v>559</v>
      </c>
      <c r="J196" s="3" t="str">
        <f>HYPERLINK("https://www.boe.es/gazeta/dias/1817/10/02/pdfs/GMD-1817-118.pdf#page=8","Abrir facsímil")</f>
        <v>Abrir facsímil</v>
      </c>
      <c r="K196" s="3" t="s">
        <v>23</v>
      </c>
    </row>
    <row r="197" spans="1:11" ht="42" customHeight="1">
      <c r="A197" s="2" t="s">
        <v>560</v>
      </c>
      <c r="B197" s="2" t="s">
        <v>561</v>
      </c>
      <c r="C197" s="2" t="s">
        <v>49</v>
      </c>
      <c r="D197" s="2" t="s">
        <v>44</v>
      </c>
      <c r="E197" s="5">
        <v>-30307</v>
      </c>
      <c r="F197" s="3" t="s">
        <v>67</v>
      </c>
      <c r="G197" s="3" t="s">
        <v>68</v>
      </c>
      <c r="H197" s="2" t="s">
        <v>21</v>
      </c>
      <c r="I197" s="2" t="s">
        <v>562</v>
      </c>
      <c r="J197" s="3" t="str">
        <f>HYPERLINK("https://www.boe.es/gazeta/dias/1817/01/07/pdfs/GMD-1817-3.pdf#page=8","Abrir facsímil")</f>
        <v>Abrir facsímil</v>
      </c>
      <c r="K197" s="3" t="s">
        <v>23</v>
      </c>
    </row>
    <row r="198" spans="1:11" ht="42" customHeight="1">
      <c r="A198" s="2" t="s">
        <v>563</v>
      </c>
      <c r="B198" s="2" t="s">
        <v>564</v>
      </c>
      <c r="C198" s="2" t="s">
        <v>36</v>
      </c>
      <c r="D198" s="2" t="s">
        <v>37</v>
      </c>
      <c r="E198" s="5">
        <v>-30230</v>
      </c>
      <c r="F198" s="3" t="s">
        <v>189</v>
      </c>
      <c r="G198" s="3" t="s">
        <v>77</v>
      </c>
      <c r="H198" s="2" t="s">
        <v>21</v>
      </c>
      <c r="I198" s="2" t="s">
        <v>565</v>
      </c>
      <c r="J198" s="3" t="str">
        <f>HYPERLINK("https://www.boe.es/gazeta/dias/1817/03/25/pdfs/GMD-1817-36.pdf#page=8","Abrir facsímil")</f>
        <v>Abrir facsímil</v>
      </c>
      <c r="K198" s="3" t="s">
        <v>23</v>
      </c>
    </row>
    <row r="199" spans="1:11" ht="42" customHeight="1">
      <c r="A199" s="2" t="s">
        <v>566</v>
      </c>
      <c r="B199" s="2" t="s">
        <v>566</v>
      </c>
      <c r="C199" s="2" t="s">
        <v>36</v>
      </c>
      <c r="D199" s="2" t="s">
        <v>37</v>
      </c>
      <c r="E199" s="5">
        <v>-30160</v>
      </c>
      <c r="F199" s="3" t="s">
        <v>116</v>
      </c>
      <c r="G199" s="3" t="s">
        <v>567</v>
      </c>
      <c r="H199" s="2" t="s">
        <v>21</v>
      </c>
      <c r="I199" s="2" t="s">
        <v>568</v>
      </c>
      <c r="J199" s="3" t="str">
        <f>HYPERLINK("https://www.boe.es/gazeta/dias/1817/06/03/pdfs/GMD-1817-66.pdf#page=6","Abrir facsímil")</f>
        <v>Abrir facsímil</v>
      </c>
      <c r="K199" s="3" t="s">
        <v>23</v>
      </c>
    </row>
    <row r="200" spans="1:11" ht="42" customHeight="1">
      <c r="A200" s="2" t="s">
        <v>566</v>
      </c>
      <c r="B200" s="2" t="s">
        <v>566</v>
      </c>
      <c r="C200" s="2" t="s">
        <v>43</v>
      </c>
      <c r="D200" s="2" t="s">
        <v>44</v>
      </c>
      <c r="E200" s="5">
        <v>-29988</v>
      </c>
      <c r="F200" s="3" t="s">
        <v>569</v>
      </c>
      <c r="G200" s="3" t="s">
        <v>39</v>
      </c>
      <c r="H200" s="2" t="s">
        <v>21</v>
      </c>
      <c r="I200" s="2" t="s">
        <v>570</v>
      </c>
      <c r="J200" s="3" t="str">
        <f>HYPERLINK("https://www.boe.es/gazeta/dias/1817/11/22/pdfs/GMD-1817-140.pdf#page=5","Abrir facsímil")</f>
        <v>Abrir facsímil</v>
      </c>
      <c r="K200" s="3" t="s">
        <v>23</v>
      </c>
    </row>
    <row r="201" spans="1:11" ht="42" customHeight="1">
      <c r="A201" s="2" t="s">
        <v>571</v>
      </c>
      <c r="B201" s="2" t="s">
        <v>572</v>
      </c>
      <c r="C201" s="2" t="s">
        <v>55</v>
      </c>
      <c r="D201" s="2" t="s">
        <v>44</v>
      </c>
      <c r="E201" s="5">
        <v>-30048</v>
      </c>
      <c r="F201" s="3" t="s">
        <v>573</v>
      </c>
      <c r="G201" s="3" t="s">
        <v>77</v>
      </c>
      <c r="H201" s="2" t="s">
        <v>21</v>
      </c>
      <c r="I201" s="2" t="s">
        <v>574</v>
      </c>
      <c r="J201" s="3" t="str">
        <f>HYPERLINK("https://www.boe.es/gazeta/dias/1817/09/23/pdfs/GMD-1817-114.pdf#page=8","Abrir facsímil")</f>
        <v>Abrir facsímil</v>
      </c>
      <c r="K201" s="3" t="s">
        <v>23</v>
      </c>
    </row>
    <row r="202" spans="1:11" ht="42" customHeight="1">
      <c r="A202" s="2" t="s">
        <v>575</v>
      </c>
      <c r="B202" s="2" t="s">
        <v>576</v>
      </c>
      <c r="C202" s="2" t="s">
        <v>17</v>
      </c>
      <c r="D202" s="2" t="s">
        <v>18</v>
      </c>
      <c r="E202" s="5">
        <v>-30233</v>
      </c>
      <c r="F202" s="3" t="s">
        <v>577</v>
      </c>
      <c r="G202" s="3" t="s">
        <v>578</v>
      </c>
      <c r="H202" s="2" t="s">
        <v>21</v>
      </c>
      <c r="I202" s="2" t="s">
        <v>579</v>
      </c>
      <c r="J202" s="3" t="str">
        <f>HYPERLINK("https://www.boe.es/gazeta/dias/1817/03/22/pdfs/GMD-1817-35.pdf#page=8","Abrir facsímil")</f>
        <v>Abrir facsímil</v>
      </c>
      <c r="K202" s="3" t="s">
        <v>23</v>
      </c>
    </row>
    <row r="203" spans="1:11" ht="42" customHeight="1">
      <c r="A203" s="2" t="s">
        <v>580</v>
      </c>
      <c r="B203" s="2" t="s">
        <v>581</v>
      </c>
      <c r="C203" s="2" t="s">
        <v>36</v>
      </c>
      <c r="D203" s="2" t="s">
        <v>37</v>
      </c>
      <c r="E203" s="5">
        <v>-30065</v>
      </c>
      <c r="F203" s="3" t="s">
        <v>201</v>
      </c>
      <c r="G203" s="3" t="s">
        <v>20</v>
      </c>
      <c r="H203" s="2" t="s">
        <v>21</v>
      </c>
      <c r="I203" s="2" t="s">
        <v>582</v>
      </c>
      <c r="J203" s="3" t="str">
        <f>HYPERLINK("https://www.boe.es/gazeta/dias/1817/09/06/pdfs/GMD-1817-107.pdf#page=7","Abrir facsímil")</f>
        <v>Abrir facsímil</v>
      </c>
      <c r="K203" s="3" t="s">
        <v>23</v>
      </c>
    </row>
    <row r="204" spans="1:11" ht="42" customHeight="1">
      <c r="A204" s="2" t="s">
        <v>583</v>
      </c>
      <c r="B204" s="2" t="s">
        <v>584</v>
      </c>
      <c r="C204" s="2" t="s">
        <v>36</v>
      </c>
      <c r="D204" s="2" t="s">
        <v>37</v>
      </c>
      <c r="E204" s="5">
        <v>-30032</v>
      </c>
      <c r="F204" s="3" t="s">
        <v>337</v>
      </c>
      <c r="G204" s="3" t="s">
        <v>144</v>
      </c>
      <c r="H204" s="2" t="s">
        <v>21</v>
      </c>
      <c r="I204" s="2" t="s">
        <v>585</v>
      </c>
      <c r="J204" s="3" t="str">
        <f>HYPERLINK("https://www.boe.es/gazeta/dias/1817/10/09/pdfs/GMD-1817-121.pdf#page=4","Abrir facsímil")</f>
        <v>Abrir facsímil</v>
      </c>
      <c r="K204" s="3" t="s">
        <v>23</v>
      </c>
    </row>
    <row r="205" spans="1:11" ht="42" customHeight="1">
      <c r="A205" s="2" t="s">
        <v>586</v>
      </c>
      <c r="B205" s="2" t="s">
        <v>587</v>
      </c>
      <c r="C205" s="2" t="s">
        <v>510</v>
      </c>
      <c r="D205" s="2" t="s">
        <v>44</v>
      </c>
      <c r="E205" s="5">
        <v>-30149</v>
      </c>
      <c r="F205" s="3" t="s">
        <v>430</v>
      </c>
      <c r="G205" s="3" t="s">
        <v>57</v>
      </c>
      <c r="H205" s="2" t="s">
        <v>21</v>
      </c>
      <c r="I205" s="2" t="s">
        <v>588</v>
      </c>
      <c r="J205" s="3" t="str">
        <f>HYPERLINK("https://www.boe.es/gazeta/dias/1817/06/14/pdfs/GMD-1817-71.pdf#page=6","Abrir facsímil")</f>
        <v>Abrir facsímil</v>
      </c>
      <c r="K205" s="3" t="s">
        <v>23</v>
      </c>
    </row>
    <row r="206" spans="1:11" ht="42" customHeight="1">
      <c r="A206" s="2" t="s">
        <v>589</v>
      </c>
      <c r="B206" s="2" t="s">
        <v>590</v>
      </c>
      <c r="C206" s="2" t="s">
        <v>36</v>
      </c>
      <c r="D206" s="2" t="s">
        <v>37</v>
      </c>
      <c r="E206" s="5">
        <v>-29988</v>
      </c>
      <c r="F206" s="3" t="s">
        <v>569</v>
      </c>
      <c r="G206" s="3" t="s">
        <v>39</v>
      </c>
      <c r="H206" s="2" t="s">
        <v>21</v>
      </c>
      <c r="I206" s="2" t="s">
        <v>591</v>
      </c>
      <c r="J206" s="3" t="str">
        <f>HYPERLINK("https://www.boe.es/gazeta/dias/1817/11/22/pdfs/GMD-1817-140.pdf#page=5","Abrir facsímil")</f>
        <v>Abrir facsímil</v>
      </c>
      <c r="K206" s="3" t="s">
        <v>23</v>
      </c>
    </row>
    <row r="207" spans="1:11" ht="42" customHeight="1">
      <c r="A207" s="2" t="s">
        <v>592</v>
      </c>
      <c r="B207" s="2" t="s">
        <v>593</v>
      </c>
      <c r="C207" s="2" t="s">
        <v>17</v>
      </c>
      <c r="D207" s="2" t="s">
        <v>18</v>
      </c>
      <c r="E207" s="5">
        <v>-30240</v>
      </c>
      <c r="F207" s="3" t="s">
        <v>347</v>
      </c>
      <c r="G207" s="3" t="s">
        <v>77</v>
      </c>
      <c r="H207" s="2" t="s">
        <v>21</v>
      </c>
      <c r="I207" s="2" t="s">
        <v>594</v>
      </c>
      <c r="J207" s="3" t="str">
        <f>HYPERLINK("https://www.boe.es/gazeta/dias/1817/03/15/pdfs/GMD-1817-32.pdf#page=8","Abrir facsímil")</f>
        <v>Abrir facsímil</v>
      </c>
      <c r="K207" s="3" t="s">
        <v>23</v>
      </c>
    </row>
    <row r="208" spans="1:11" ht="42" customHeight="1">
      <c r="A208" s="2" t="s">
        <v>595</v>
      </c>
      <c r="B208" s="2" t="s">
        <v>596</v>
      </c>
      <c r="C208" s="2" t="s">
        <v>36</v>
      </c>
      <c r="D208" s="2" t="s">
        <v>37</v>
      </c>
      <c r="E208" s="5">
        <v>-30081</v>
      </c>
      <c r="F208" s="3" t="s">
        <v>133</v>
      </c>
      <c r="G208" s="3" t="s">
        <v>82</v>
      </c>
      <c r="H208" s="2" t="s">
        <v>21</v>
      </c>
      <c r="I208" s="2" t="s">
        <v>597</v>
      </c>
      <c r="J208" s="3" t="str">
        <f>HYPERLINK("https://www.boe.es/gazeta/dias/1817/08/21/pdfs/GMD-1817-100.pdf#page=12","Abrir facsímil")</f>
        <v>Abrir facsímil</v>
      </c>
      <c r="K208" s="3" t="s">
        <v>23</v>
      </c>
    </row>
    <row r="209" spans="1:11" ht="42" customHeight="1">
      <c r="A209" s="2" t="s">
        <v>598</v>
      </c>
      <c r="B209" s="2" t="s">
        <v>599</v>
      </c>
      <c r="C209" s="2" t="s">
        <v>36</v>
      </c>
      <c r="D209" s="2" t="s">
        <v>37</v>
      </c>
      <c r="E209" s="5">
        <v>-29981</v>
      </c>
      <c r="F209" s="3" t="s">
        <v>111</v>
      </c>
      <c r="G209" s="3" t="s">
        <v>20</v>
      </c>
      <c r="H209" s="2" t="s">
        <v>21</v>
      </c>
      <c r="I209" s="2" t="s">
        <v>600</v>
      </c>
      <c r="J209" s="3" t="str">
        <f>HYPERLINK("https://www.boe.es/gazeta/dias/1817/11/29/pdfs/GMD-1817-143.pdf#page=7","Abrir facsímil")</f>
        <v>Abrir facsímil</v>
      </c>
      <c r="K209" s="3" t="s">
        <v>23</v>
      </c>
    </row>
    <row r="210" spans="1:11" ht="42" customHeight="1">
      <c r="A210" s="2" t="s">
        <v>601</v>
      </c>
      <c r="B210" s="2" t="s">
        <v>602</v>
      </c>
      <c r="C210" s="2" t="s">
        <v>43</v>
      </c>
      <c r="D210" s="2" t="s">
        <v>44</v>
      </c>
      <c r="E210" s="5">
        <v>-30242</v>
      </c>
      <c r="F210" s="3" t="s">
        <v>62</v>
      </c>
      <c r="G210" s="3" t="s">
        <v>603</v>
      </c>
      <c r="H210" s="2" t="s">
        <v>21</v>
      </c>
      <c r="I210" s="2" t="s">
        <v>604</v>
      </c>
      <c r="J210" s="3" t="str">
        <f>HYPERLINK("https://www.boe.es/gazeta/dias/1817/03/13/pdfs/GMD-1817-31.pdf#page=4","Abrir facsímil")</f>
        <v>Abrir facsímil</v>
      </c>
      <c r="K210" s="3" t="s">
        <v>23</v>
      </c>
    </row>
    <row r="211" spans="1:11" ht="42" customHeight="1">
      <c r="A211" s="2" t="s">
        <v>605</v>
      </c>
      <c r="B211" s="2" t="s">
        <v>606</v>
      </c>
      <c r="C211" s="2" t="s">
        <v>138</v>
      </c>
      <c r="D211" s="2" t="s">
        <v>44</v>
      </c>
      <c r="E211" s="5">
        <v>-29988</v>
      </c>
      <c r="F211" s="3" t="s">
        <v>569</v>
      </c>
      <c r="G211" s="3" t="s">
        <v>112</v>
      </c>
      <c r="H211" s="2" t="s">
        <v>21</v>
      </c>
      <c r="I211" s="2" t="s">
        <v>607</v>
      </c>
      <c r="J211" s="3" t="str">
        <f>HYPERLINK("https://www.boe.es/gazeta/dias/1817/11/22/pdfs/GMD-1817-140.pdf#page=11","Abrir facsímil")</f>
        <v>Abrir facsímil</v>
      </c>
      <c r="K211" s="3" t="s">
        <v>23</v>
      </c>
    </row>
    <row r="212" spans="1:11" ht="42" customHeight="1">
      <c r="A212" s="2" t="s">
        <v>608</v>
      </c>
      <c r="B212" s="2" t="s">
        <v>609</v>
      </c>
      <c r="C212" s="2" t="s">
        <v>510</v>
      </c>
      <c r="D212" s="2" t="s">
        <v>44</v>
      </c>
      <c r="E212" s="5">
        <v>-30142</v>
      </c>
      <c r="F212" s="3" t="s">
        <v>286</v>
      </c>
      <c r="G212" s="3" t="s">
        <v>497</v>
      </c>
      <c r="H212" s="2" t="s">
        <v>21</v>
      </c>
      <c r="I212" s="2" t="s">
        <v>610</v>
      </c>
      <c r="J212" s="3" t="str">
        <f>HYPERLINK("https://www.boe.es/gazeta/dias/1817/06/21/pdfs/GMD-1817-74.pdf#page=8","Abrir facsímil")</f>
        <v>Abrir facsímil</v>
      </c>
      <c r="K212" s="3" t="s">
        <v>23</v>
      </c>
    </row>
    <row r="213" spans="1:11" ht="42" customHeight="1">
      <c r="A213" s="2" t="s">
        <v>611</v>
      </c>
      <c r="B213" s="2" t="s">
        <v>612</v>
      </c>
      <c r="C213" s="2" t="s">
        <v>43</v>
      </c>
      <c r="D213" s="2" t="s">
        <v>44</v>
      </c>
      <c r="E213" s="5">
        <v>-30179</v>
      </c>
      <c r="F213" s="3" t="s">
        <v>391</v>
      </c>
      <c r="G213" s="3" t="s">
        <v>20</v>
      </c>
      <c r="H213" s="2" t="s">
        <v>21</v>
      </c>
      <c r="I213" s="2" t="s">
        <v>613</v>
      </c>
      <c r="J213" s="3" t="str">
        <f>HYPERLINK("https://www.boe.es/gazeta/dias/1817/05/15/pdfs/GMD-1817-58.pdf#page=7","Abrir facsímil")</f>
        <v>Abrir facsímil</v>
      </c>
      <c r="K213" s="3" t="s">
        <v>23</v>
      </c>
    </row>
    <row r="214" spans="1:11" ht="42" customHeight="1">
      <c r="A214" s="2" t="s">
        <v>614</v>
      </c>
      <c r="B214" s="2" t="s">
        <v>615</v>
      </c>
      <c r="C214" s="2" t="s">
        <v>43</v>
      </c>
      <c r="D214" s="2" t="s">
        <v>44</v>
      </c>
      <c r="E214" s="5">
        <v>-30027</v>
      </c>
      <c r="F214" s="3" t="s">
        <v>173</v>
      </c>
      <c r="G214" s="3" t="s">
        <v>77</v>
      </c>
      <c r="H214" s="2" t="s">
        <v>21</v>
      </c>
      <c r="I214" s="2" t="s">
        <v>616</v>
      </c>
      <c r="J214" s="3" t="str">
        <f>HYPERLINK("https://www.boe.es/gazeta/dias/1817/10/14/pdfs/GMD-1817-123.pdf#page=8","Abrir facsímil")</f>
        <v>Abrir facsímil</v>
      </c>
      <c r="K214" s="3" t="s">
        <v>23</v>
      </c>
    </row>
    <row r="215" spans="1:11" ht="42" customHeight="1">
      <c r="A215" s="2" t="s">
        <v>617</v>
      </c>
      <c r="B215" s="2" t="s">
        <v>618</v>
      </c>
      <c r="C215" s="2" t="s">
        <v>43</v>
      </c>
      <c r="D215" s="2" t="s">
        <v>44</v>
      </c>
      <c r="E215" s="5">
        <v>-30272</v>
      </c>
      <c r="F215" s="3" t="s">
        <v>493</v>
      </c>
      <c r="G215" s="3" t="s">
        <v>39</v>
      </c>
      <c r="H215" s="2" t="s">
        <v>21</v>
      </c>
      <c r="I215" s="2" t="s">
        <v>619</v>
      </c>
      <c r="J215" s="3" t="str">
        <f>HYPERLINK("https://www.boe.es/gazeta/dias/1817/02/11/pdfs/GMD-1817-18.pdf#page=5","Abrir facsímil")</f>
        <v>Abrir facsímil</v>
      </c>
      <c r="K215" s="3" t="s">
        <v>23</v>
      </c>
    </row>
    <row r="216" spans="1:11" ht="42" customHeight="1">
      <c r="A216" s="2" t="s">
        <v>620</v>
      </c>
      <c r="B216" s="2" t="s">
        <v>620</v>
      </c>
      <c r="C216" s="2" t="s">
        <v>36</v>
      </c>
      <c r="D216" s="2" t="s">
        <v>37</v>
      </c>
      <c r="E216" s="5">
        <v>-30072</v>
      </c>
      <c r="F216" s="3" t="s">
        <v>442</v>
      </c>
      <c r="G216" s="3" t="s">
        <v>72</v>
      </c>
      <c r="H216" s="2" t="s">
        <v>21</v>
      </c>
      <c r="I216" s="2" t="s">
        <v>621</v>
      </c>
      <c r="J216" s="3" t="str">
        <f>HYPERLINK("https://www.boe.es/gazeta/dias/1817/08/30/pdfs/GMD-1817-104.pdf#page=1","Abrir facsímil")</f>
        <v>Abrir facsímil</v>
      </c>
      <c r="K216" s="3" t="s">
        <v>23</v>
      </c>
    </row>
    <row r="217" spans="1:11" ht="42" customHeight="1">
      <c r="A217" s="2" t="s">
        <v>622</v>
      </c>
      <c r="B217" s="2" t="s">
        <v>623</v>
      </c>
      <c r="C217" s="2" t="s">
        <v>55</v>
      </c>
      <c r="D217" s="2" t="s">
        <v>44</v>
      </c>
      <c r="E217" s="5">
        <v>-29974</v>
      </c>
      <c r="F217" s="3" t="s">
        <v>32</v>
      </c>
      <c r="G217" s="3" t="s">
        <v>77</v>
      </c>
      <c r="H217" s="2" t="s">
        <v>21</v>
      </c>
      <c r="I217" s="2" t="s">
        <v>624</v>
      </c>
      <c r="J217" s="3" t="str">
        <f>HYPERLINK("https://www.boe.es/gazeta/dias/1817/12/06/pdfs/GMD-1817-146.pdf#page=8","Abrir facsímil")</f>
        <v>Abrir facsímil</v>
      </c>
      <c r="K217" s="3" t="s">
        <v>23</v>
      </c>
    </row>
    <row r="218" spans="1:11" ht="42" customHeight="1">
      <c r="A218" s="2" t="s">
        <v>625</v>
      </c>
      <c r="B218" s="2" t="s">
        <v>625</v>
      </c>
      <c r="C218" s="2" t="s">
        <v>510</v>
      </c>
      <c r="D218" s="2" t="s">
        <v>44</v>
      </c>
      <c r="E218" s="5">
        <v>-30233</v>
      </c>
      <c r="F218" s="3" t="s">
        <v>577</v>
      </c>
      <c r="G218" s="3" t="s">
        <v>551</v>
      </c>
      <c r="H218" s="2" t="s">
        <v>21</v>
      </c>
      <c r="I218" s="2" t="s">
        <v>626</v>
      </c>
      <c r="J218" s="3" t="str">
        <f>HYPERLINK("https://www.boe.es/gazeta/dias/1817/03/22/pdfs/GMD-1817-35.pdf#page=3","Abrir facsímil")</f>
        <v>Abrir facsímil</v>
      </c>
      <c r="K218" s="3" t="s">
        <v>23</v>
      </c>
    </row>
    <row r="219" spans="1:11" ht="42" customHeight="1">
      <c r="A219" s="2" t="s">
        <v>625</v>
      </c>
      <c r="B219" s="2" t="s">
        <v>625</v>
      </c>
      <c r="C219" s="2" t="s">
        <v>36</v>
      </c>
      <c r="D219" s="2" t="s">
        <v>37</v>
      </c>
      <c r="E219" s="5">
        <v>-30223</v>
      </c>
      <c r="F219" s="3" t="s">
        <v>627</v>
      </c>
      <c r="G219" s="3" t="s">
        <v>72</v>
      </c>
      <c r="H219" s="2" t="s">
        <v>21</v>
      </c>
      <c r="I219" s="2" t="s">
        <v>628</v>
      </c>
      <c r="J219" s="3" t="str">
        <f>HYPERLINK("https://www.boe.es/gazeta/dias/1817/04/01/pdfs/GMD-1817-39.pdf#page=1","Abrir facsímil")</f>
        <v>Abrir facsímil</v>
      </c>
      <c r="K219" s="3" t="s">
        <v>23</v>
      </c>
    </row>
    <row r="220" spans="1:11" ht="42" customHeight="1">
      <c r="A220" s="2" t="s">
        <v>625</v>
      </c>
      <c r="B220" s="2" t="s">
        <v>625</v>
      </c>
      <c r="C220" s="2" t="s">
        <v>510</v>
      </c>
      <c r="D220" s="2" t="s">
        <v>44</v>
      </c>
      <c r="E220" s="5">
        <v>-30223</v>
      </c>
      <c r="F220" s="3" t="s">
        <v>627</v>
      </c>
      <c r="G220" s="3" t="s">
        <v>629</v>
      </c>
      <c r="H220" s="2" t="s">
        <v>21</v>
      </c>
      <c r="I220" s="2" t="s">
        <v>630</v>
      </c>
      <c r="J220" s="3" t="str">
        <f>HYPERLINK("https://www.boe.es/gazeta/dias/1817/04/01/pdfs/GMD-1817-39.pdf#page=2","Abrir facsímil")</f>
        <v>Abrir facsímil</v>
      </c>
      <c r="K220" s="3" t="s">
        <v>23</v>
      </c>
    </row>
    <row r="221" spans="1:11" ht="42" customHeight="1">
      <c r="A221" s="2" t="s">
        <v>625</v>
      </c>
      <c r="B221" s="2" t="s">
        <v>625</v>
      </c>
      <c r="C221" s="2" t="s">
        <v>36</v>
      </c>
      <c r="D221" s="2" t="s">
        <v>37</v>
      </c>
      <c r="E221" s="5">
        <v>-30214</v>
      </c>
      <c r="F221" s="3" t="s">
        <v>631</v>
      </c>
      <c r="G221" s="3" t="s">
        <v>144</v>
      </c>
      <c r="H221" s="2" t="s">
        <v>21</v>
      </c>
      <c r="I221" s="2" t="s">
        <v>632</v>
      </c>
      <c r="J221" s="3" t="str">
        <f>HYPERLINK("https://www.boe.es/gazeta/dias/1817/04/10/pdfs/GMD-1817-43.pdf#page=4","Abrir facsímil")</f>
        <v>Abrir facsímil</v>
      </c>
      <c r="K221" s="3" t="s">
        <v>23</v>
      </c>
    </row>
    <row r="222" spans="1:11" ht="42" customHeight="1">
      <c r="A222" s="2" t="s">
        <v>625</v>
      </c>
      <c r="B222" s="2" t="s">
        <v>625</v>
      </c>
      <c r="C222" s="2" t="s">
        <v>17</v>
      </c>
      <c r="D222" s="2" t="s">
        <v>18</v>
      </c>
      <c r="E222" s="5">
        <v>-30177</v>
      </c>
      <c r="F222" s="3" t="s">
        <v>633</v>
      </c>
      <c r="G222" s="3" t="s">
        <v>144</v>
      </c>
      <c r="H222" s="2" t="s">
        <v>21</v>
      </c>
      <c r="I222" s="2" t="s">
        <v>634</v>
      </c>
      <c r="J222" s="3" t="str">
        <f>HYPERLINK("https://www.boe.es/gazeta/dias/1817/05/17/pdfs/GMD-1817-59.pdf#page=4","Abrir facsímil")</f>
        <v>Abrir facsímil</v>
      </c>
      <c r="K222" s="3" t="s">
        <v>23</v>
      </c>
    </row>
    <row r="223" spans="1:11" ht="42" customHeight="1">
      <c r="A223" s="2" t="s">
        <v>625</v>
      </c>
      <c r="B223" s="2" t="s">
        <v>625</v>
      </c>
      <c r="C223" s="2" t="s">
        <v>43</v>
      </c>
      <c r="D223" s="2" t="s">
        <v>44</v>
      </c>
      <c r="E223" s="5">
        <v>-30156</v>
      </c>
      <c r="F223" s="3" t="s">
        <v>635</v>
      </c>
      <c r="G223" s="3" t="s">
        <v>636</v>
      </c>
      <c r="H223" s="2" t="s">
        <v>21</v>
      </c>
      <c r="I223" s="2" t="s">
        <v>637</v>
      </c>
      <c r="J223" s="3" t="str">
        <f>HYPERLINK("https://www.boe.es/gazeta/dias/1817/06/07/pdfs/GMD-1817-68.pdf#page=3","Abrir facsímil")</f>
        <v>Abrir facsímil</v>
      </c>
      <c r="K223" s="3" t="s">
        <v>23</v>
      </c>
    </row>
    <row r="224" spans="1:11" ht="42" customHeight="1">
      <c r="A224" s="2" t="s">
        <v>625</v>
      </c>
      <c r="B224" s="2" t="s">
        <v>625</v>
      </c>
      <c r="C224" s="2" t="s">
        <v>43</v>
      </c>
      <c r="D224" s="2" t="s">
        <v>44</v>
      </c>
      <c r="E224" s="5">
        <v>-30156</v>
      </c>
      <c r="F224" s="3" t="s">
        <v>635</v>
      </c>
      <c r="G224" s="3" t="s">
        <v>144</v>
      </c>
      <c r="H224" s="2" t="s">
        <v>21</v>
      </c>
      <c r="I224" s="2" t="s">
        <v>638</v>
      </c>
      <c r="J224" s="3" t="str">
        <f>HYPERLINK("https://www.boe.es/gazeta/dias/1817/06/07/pdfs/GMD-1817-68.pdf#page=4","Abrir facsímil")</f>
        <v>Abrir facsímil</v>
      </c>
      <c r="K224" s="3" t="s">
        <v>23</v>
      </c>
    </row>
    <row r="225" spans="1:11" ht="42" customHeight="1">
      <c r="A225" s="2" t="s">
        <v>625</v>
      </c>
      <c r="B225" s="2" t="s">
        <v>625</v>
      </c>
      <c r="C225" s="2" t="s">
        <v>43</v>
      </c>
      <c r="D225" s="2" t="s">
        <v>44</v>
      </c>
      <c r="E225" s="5">
        <v>-30107</v>
      </c>
      <c r="F225" s="3" t="s">
        <v>307</v>
      </c>
      <c r="G225" s="3" t="s">
        <v>551</v>
      </c>
      <c r="H225" s="2" t="s">
        <v>21</v>
      </c>
      <c r="I225" s="2" t="s">
        <v>639</v>
      </c>
      <c r="J225" s="3" t="str">
        <f>HYPERLINK("https://www.boe.es/gazeta/dias/1817/07/26/pdfs/GMD-1817-89.pdf#page=3","Abrir facsímil")</f>
        <v>Abrir facsímil</v>
      </c>
      <c r="K225" s="3" t="s">
        <v>23</v>
      </c>
    </row>
    <row r="226" spans="1:11" ht="42" customHeight="1">
      <c r="A226" s="2" t="s">
        <v>625</v>
      </c>
      <c r="B226" s="2" t="s">
        <v>625</v>
      </c>
      <c r="C226" s="2" t="s">
        <v>55</v>
      </c>
      <c r="D226" s="2" t="s">
        <v>44</v>
      </c>
      <c r="E226" s="5">
        <v>-30051</v>
      </c>
      <c r="F226" s="3" t="s">
        <v>26</v>
      </c>
      <c r="G226" s="3" t="s">
        <v>640</v>
      </c>
      <c r="H226" s="2" t="s">
        <v>21</v>
      </c>
      <c r="I226" s="2" t="s">
        <v>641</v>
      </c>
      <c r="J226" s="3" t="str">
        <f>HYPERLINK("https://www.boe.es/gazeta/dias/1817/09/20/pdfs/GMD-1817-113.pdf#page=2","Abrir facsímil")</f>
        <v>Abrir facsímil</v>
      </c>
      <c r="K226" s="3" t="s">
        <v>23</v>
      </c>
    </row>
    <row r="227" spans="1:11" ht="42" customHeight="1">
      <c r="A227" s="2" t="s">
        <v>625</v>
      </c>
      <c r="B227" s="2" t="s">
        <v>625</v>
      </c>
      <c r="C227" s="2" t="s">
        <v>43</v>
      </c>
      <c r="D227" s="2" t="s">
        <v>44</v>
      </c>
      <c r="E227" s="5">
        <v>-30051</v>
      </c>
      <c r="F227" s="3" t="s">
        <v>26</v>
      </c>
      <c r="G227" s="3" t="s">
        <v>551</v>
      </c>
      <c r="H227" s="2" t="s">
        <v>21</v>
      </c>
      <c r="I227" s="2" t="s">
        <v>642</v>
      </c>
      <c r="J227" s="3" t="str">
        <f>HYPERLINK("https://www.boe.es/gazeta/dias/1817/09/20/pdfs/GMD-1817-113.pdf#page=3","Abrir facsímil")</f>
        <v>Abrir facsímil</v>
      </c>
      <c r="K227" s="3" t="s">
        <v>23</v>
      </c>
    </row>
    <row r="228" spans="1:11" ht="42" customHeight="1">
      <c r="A228" s="2" t="s">
        <v>643</v>
      </c>
      <c r="B228" s="2" t="s">
        <v>643</v>
      </c>
      <c r="C228" s="2" t="s">
        <v>36</v>
      </c>
      <c r="D228" s="2" t="s">
        <v>37</v>
      </c>
      <c r="E228" s="5">
        <v>-30298</v>
      </c>
      <c r="F228" s="3" t="s">
        <v>489</v>
      </c>
      <c r="G228" s="3" t="s">
        <v>644</v>
      </c>
      <c r="H228" s="2" t="s">
        <v>21</v>
      </c>
      <c r="I228" s="2" t="s">
        <v>645</v>
      </c>
      <c r="J228" s="3" t="str">
        <f>HYPERLINK("https://www.boe.es/gazeta/dias/1817/01/16/pdfs/GMD-1817-7.pdf#page=5","Abrir facsímil")</f>
        <v>Abrir facsímil</v>
      </c>
      <c r="K228" s="3" t="s">
        <v>23</v>
      </c>
    </row>
    <row r="229" spans="1:11" ht="42" customHeight="1">
      <c r="A229" s="2" t="s">
        <v>643</v>
      </c>
      <c r="B229" s="2" t="s">
        <v>643</v>
      </c>
      <c r="C229" s="2" t="s">
        <v>510</v>
      </c>
      <c r="D229" s="2" t="s">
        <v>44</v>
      </c>
      <c r="E229" s="5">
        <v>-30233</v>
      </c>
      <c r="F229" s="3" t="s">
        <v>577</v>
      </c>
      <c r="G229" s="3" t="s">
        <v>629</v>
      </c>
      <c r="H229" s="2" t="s">
        <v>21</v>
      </c>
      <c r="I229" s="2" t="s">
        <v>646</v>
      </c>
      <c r="J229" s="3" t="str">
        <f>HYPERLINK("https://www.boe.es/gazeta/dias/1817/03/22/pdfs/GMD-1817-35.pdf#page=2","Abrir facsímil")</f>
        <v>Abrir facsímil</v>
      </c>
      <c r="K229" s="3" t="s">
        <v>23</v>
      </c>
    </row>
    <row r="230" spans="1:11" ht="42" customHeight="1">
      <c r="A230" s="2" t="s">
        <v>643</v>
      </c>
      <c r="B230" s="2" t="s">
        <v>643</v>
      </c>
      <c r="C230" s="2" t="s">
        <v>17</v>
      </c>
      <c r="D230" s="2" t="s">
        <v>18</v>
      </c>
      <c r="E230" s="5">
        <v>-30230</v>
      </c>
      <c r="F230" s="3" t="s">
        <v>189</v>
      </c>
      <c r="G230" s="3" t="s">
        <v>39</v>
      </c>
      <c r="H230" s="2" t="s">
        <v>21</v>
      </c>
      <c r="I230" s="2" t="s">
        <v>647</v>
      </c>
      <c r="J230" s="3" t="str">
        <f>HYPERLINK("https://www.boe.es/gazeta/dias/1817/03/25/pdfs/GMD-1817-36.pdf#page=5","Abrir facsímil")</f>
        <v>Abrir facsímil</v>
      </c>
      <c r="K230" s="3" t="s">
        <v>23</v>
      </c>
    </row>
    <row r="231" spans="1:11" ht="42" customHeight="1">
      <c r="A231" s="2" t="s">
        <v>643</v>
      </c>
      <c r="B231" s="2" t="s">
        <v>643</v>
      </c>
      <c r="C231" s="2" t="s">
        <v>36</v>
      </c>
      <c r="D231" s="2" t="s">
        <v>37</v>
      </c>
      <c r="E231" s="5">
        <v>-30118</v>
      </c>
      <c r="F231" s="3" t="s">
        <v>432</v>
      </c>
      <c r="G231" s="3" t="s">
        <v>648</v>
      </c>
      <c r="H231" s="2" t="s">
        <v>21</v>
      </c>
      <c r="I231" s="2" t="s">
        <v>649</v>
      </c>
      <c r="J231" s="3" t="str">
        <f>HYPERLINK("https://www.boe.es/gazeta/dias/1817/07/15/pdfs/GMD-1817-84.pdf#page=4","Abrir facsímil")</f>
        <v>Abrir facsímil</v>
      </c>
      <c r="K231" s="3" t="s">
        <v>23</v>
      </c>
    </row>
    <row r="232" spans="1:11" ht="42" customHeight="1">
      <c r="A232" s="2" t="s">
        <v>643</v>
      </c>
      <c r="B232" s="2" t="s">
        <v>643</v>
      </c>
      <c r="C232" s="2" t="s">
        <v>36</v>
      </c>
      <c r="D232" s="2" t="s">
        <v>37</v>
      </c>
      <c r="E232" s="5">
        <v>-29999</v>
      </c>
      <c r="F232" s="3" t="s">
        <v>471</v>
      </c>
      <c r="G232" s="3" t="s">
        <v>650</v>
      </c>
      <c r="H232" s="2" t="s">
        <v>21</v>
      </c>
      <c r="I232" s="2" t="s">
        <v>651</v>
      </c>
      <c r="J232" s="3" t="str">
        <f>HYPERLINK("https://www.boe.es/gazeta/dias/1817/11/11/pdfs/GMD-1817-135.pdf#page=5","Abrir facsímil")</f>
        <v>Abrir facsímil</v>
      </c>
      <c r="K232" s="3" t="s">
        <v>23</v>
      </c>
    </row>
    <row r="233" spans="1:11" ht="42" customHeight="1">
      <c r="A233" s="2" t="s">
        <v>643</v>
      </c>
      <c r="B233" s="2" t="s">
        <v>643</v>
      </c>
      <c r="C233" s="2" t="s">
        <v>43</v>
      </c>
      <c r="D233" s="2" t="s">
        <v>44</v>
      </c>
      <c r="E233" s="5">
        <v>-29997</v>
      </c>
      <c r="F233" s="3" t="s">
        <v>652</v>
      </c>
      <c r="G233" s="3" t="s">
        <v>112</v>
      </c>
      <c r="H233" s="2" t="s">
        <v>21</v>
      </c>
      <c r="I233" s="2" t="s">
        <v>653</v>
      </c>
      <c r="J233" s="3" t="str">
        <f>HYPERLINK("https://www.boe.es/gazeta/dias/1817/11/13/pdfs/GMD-1817-136.pdf#page=11","Abrir facsímil")</f>
        <v>Abrir facsímil</v>
      </c>
      <c r="K233" s="3" t="s">
        <v>23</v>
      </c>
    </row>
    <row r="234" spans="1:11" ht="42" customHeight="1">
      <c r="A234" s="2" t="s">
        <v>643</v>
      </c>
      <c r="B234" s="2" t="s">
        <v>643</v>
      </c>
      <c r="C234" s="2" t="s">
        <v>17</v>
      </c>
      <c r="D234" s="2" t="s">
        <v>18</v>
      </c>
      <c r="E234" s="5">
        <v>-29995</v>
      </c>
      <c r="F234" s="3" t="s">
        <v>514</v>
      </c>
      <c r="G234" s="3" t="s">
        <v>654</v>
      </c>
      <c r="H234" s="2" t="s">
        <v>21</v>
      </c>
      <c r="I234" s="2" t="s">
        <v>655</v>
      </c>
      <c r="J234" s="3" t="str">
        <f>HYPERLINK("https://www.boe.es/gazeta/dias/1817/11/15/pdfs/GMD-1817-137.pdf#page=2","Abrir facsímil")</f>
        <v>Abrir facsímil</v>
      </c>
      <c r="K234" s="3" t="s">
        <v>23</v>
      </c>
    </row>
    <row r="235" spans="1:11" ht="42" customHeight="1">
      <c r="A235" s="2" t="s">
        <v>643</v>
      </c>
      <c r="B235" s="2" t="s">
        <v>643</v>
      </c>
      <c r="C235" s="2" t="s">
        <v>49</v>
      </c>
      <c r="D235" s="2" t="s">
        <v>44</v>
      </c>
      <c r="E235" s="5">
        <v>-29967</v>
      </c>
      <c r="F235" s="3" t="s">
        <v>183</v>
      </c>
      <c r="G235" s="3" t="s">
        <v>20</v>
      </c>
      <c r="H235" s="2" t="s">
        <v>21</v>
      </c>
      <c r="I235" s="2" t="s">
        <v>656</v>
      </c>
      <c r="J235" s="3" t="str">
        <f>HYPERLINK("https://www.boe.es/gazeta/dias/1817/12/13/pdfs/GMD-1817-149.pdf#page=7","Abrir facsímil")</f>
        <v>Abrir facsímil</v>
      </c>
      <c r="K235" s="3" t="s">
        <v>23</v>
      </c>
    </row>
    <row r="236" spans="1:11" ht="42" customHeight="1">
      <c r="A236" s="2" t="s">
        <v>643</v>
      </c>
      <c r="B236" s="2" t="s">
        <v>643</v>
      </c>
      <c r="C236" s="2" t="s">
        <v>36</v>
      </c>
      <c r="D236" s="2" t="s">
        <v>37</v>
      </c>
      <c r="E236" s="5">
        <v>-29960</v>
      </c>
      <c r="F236" s="3" t="s">
        <v>657</v>
      </c>
      <c r="G236" s="3" t="s">
        <v>144</v>
      </c>
      <c r="H236" s="2" t="s">
        <v>21</v>
      </c>
      <c r="I236" s="2" t="s">
        <v>658</v>
      </c>
      <c r="J236" s="3" t="str">
        <f>HYPERLINK("https://www.boe.es/gazeta/dias/1817/12/20/pdfs/GMD-1817-152.pdf#page=4","Abrir facsímil")</f>
        <v>Abrir facsímil</v>
      </c>
      <c r="K236" s="3" t="s">
        <v>23</v>
      </c>
    </row>
    <row r="237" spans="1:11" ht="42" customHeight="1">
      <c r="A237" s="2" t="s">
        <v>659</v>
      </c>
      <c r="B237" s="2" t="s">
        <v>660</v>
      </c>
      <c r="C237" s="2" t="s">
        <v>55</v>
      </c>
      <c r="D237" s="2" t="s">
        <v>44</v>
      </c>
      <c r="E237" s="5">
        <v>-30109</v>
      </c>
      <c r="F237" s="3" t="s">
        <v>205</v>
      </c>
      <c r="G237" s="3" t="s">
        <v>206</v>
      </c>
      <c r="H237" s="2" t="s">
        <v>21</v>
      </c>
      <c r="I237" s="2" t="s">
        <v>661</v>
      </c>
      <c r="J237" s="3" t="str">
        <f>HYPERLINK("https://www.boe.es/gazeta/dias/1817/07/24/pdfs/GMD-1817-88.pdf#page=16","Abrir facsímil")</f>
        <v>Abrir facsímil</v>
      </c>
      <c r="K237" s="3" t="s">
        <v>23</v>
      </c>
    </row>
    <row r="238" spans="1:11" ht="42" customHeight="1">
      <c r="A238" s="2" t="s">
        <v>662</v>
      </c>
      <c r="B238" s="2" t="s">
        <v>663</v>
      </c>
      <c r="C238" s="2" t="s">
        <v>36</v>
      </c>
      <c r="D238" s="2" t="s">
        <v>37</v>
      </c>
      <c r="E238" s="5">
        <v>-30046</v>
      </c>
      <c r="F238" s="3" t="s">
        <v>214</v>
      </c>
      <c r="G238" s="3" t="s">
        <v>275</v>
      </c>
      <c r="H238" s="2" t="s">
        <v>21</v>
      </c>
      <c r="I238" s="2" t="s">
        <v>664</v>
      </c>
      <c r="J238" s="3" t="str">
        <f>HYPERLINK("https://www.boe.es/gazeta/dias/1817/09/25/pdfs/GMD-1817-115.pdf#page=12","Abrir facsímil")</f>
        <v>Abrir facsímil</v>
      </c>
      <c r="K238" s="3" t="s">
        <v>23</v>
      </c>
    </row>
    <row r="239" spans="1:11" ht="42" customHeight="1">
      <c r="A239" s="2" t="s">
        <v>665</v>
      </c>
      <c r="B239" s="2" t="s">
        <v>666</v>
      </c>
      <c r="C239" s="2" t="s">
        <v>36</v>
      </c>
      <c r="D239" s="2" t="s">
        <v>37</v>
      </c>
      <c r="E239" s="5">
        <v>-30149</v>
      </c>
      <c r="F239" s="3" t="s">
        <v>430</v>
      </c>
      <c r="G239" s="3" t="s">
        <v>57</v>
      </c>
      <c r="H239" s="2" t="s">
        <v>21</v>
      </c>
      <c r="I239" s="2" t="s">
        <v>667</v>
      </c>
      <c r="J239" s="3" t="str">
        <f>HYPERLINK("https://www.boe.es/gazeta/dias/1817/06/14/pdfs/GMD-1817-71.pdf#page=6","Abrir facsímil")</f>
        <v>Abrir facsímil</v>
      </c>
      <c r="K239" s="3" t="s">
        <v>23</v>
      </c>
    </row>
    <row r="240" spans="1:11" ht="42" customHeight="1">
      <c r="A240" s="2" t="s">
        <v>668</v>
      </c>
      <c r="B240" s="2" t="s">
        <v>668</v>
      </c>
      <c r="C240" s="2" t="s">
        <v>36</v>
      </c>
      <c r="D240" s="2" t="s">
        <v>37</v>
      </c>
      <c r="E240" s="5">
        <v>-30116</v>
      </c>
      <c r="F240" s="3" t="s">
        <v>319</v>
      </c>
      <c r="G240" s="3" t="s">
        <v>57</v>
      </c>
      <c r="H240" s="2" t="s">
        <v>21</v>
      </c>
      <c r="I240" s="2" t="s">
        <v>669</v>
      </c>
      <c r="J240" s="3" t="str">
        <f>HYPERLINK("https://www.boe.es/gazeta/dias/1817/07/17/pdfs/GMD-1817-85.pdf#page=6","Abrir facsímil")</f>
        <v>Abrir facsímil</v>
      </c>
      <c r="K240" s="3" t="s">
        <v>23</v>
      </c>
    </row>
    <row r="241" spans="1:11" ht="42" customHeight="1">
      <c r="A241" s="2" t="s">
        <v>670</v>
      </c>
      <c r="B241" s="2" t="s">
        <v>671</v>
      </c>
      <c r="C241" s="2" t="s">
        <v>17</v>
      </c>
      <c r="D241" s="2" t="s">
        <v>18</v>
      </c>
      <c r="E241" s="5">
        <v>-30125</v>
      </c>
      <c r="F241" s="3" t="s">
        <v>102</v>
      </c>
      <c r="G241" s="3" t="s">
        <v>144</v>
      </c>
      <c r="H241" s="2" t="s">
        <v>21</v>
      </c>
      <c r="I241" s="2" t="s">
        <v>672</v>
      </c>
      <c r="J241" s="3" t="str">
        <f>HYPERLINK("https://www.boe.es/gazeta/dias/1817/07/08/pdfs/GMD-1817-81.pdf#page=4","Abrir facsímil")</f>
        <v>Abrir facsímil</v>
      </c>
      <c r="K241" s="3" t="s">
        <v>23</v>
      </c>
    </row>
    <row r="242" spans="1:11" ht="42" customHeight="1">
      <c r="A242" s="2" t="s">
        <v>673</v>
      </c>
      <c r="B242" s="2" t="s">
        <v>673</v>
      </c>
      <c r="C242" s="2" t="s">
        <v>36</v>
      </c>
      <c r="D242" s="2" t="s">
        <v>37</v>
      </c>
      <c r="E242" s="5">
        <v>-30093</v>
      </c>
      <c r="F242" s="3" t="s">
        <v>230</v>
      </c>
      <c r="G242" s="3" t="s">
        <v>674</v>
      </c>
      <c r="H242" s="2" t="s">
        <v>21</v>
      </c>
      <c r="I242" s="2" t="s">
        <v>675</v>
      </c>
      <c r="J242" s="3" t="str">
        <f>HYPERLINK("https://www.boe.es/gazeta/dias/1817/08/09/pdfs/GMD-1817-95.pdf#page=4","Abrir facsímil")</f>
        <v>Abrir facsímil</v>
      </c>
      <c r="K242" s="3" t="s">
        <v>23</v>
      </c>
    </row>
    <row r="243" spans="1:11" ht="42" customHeight="1">
      <c r="A243" s="2" t="s">
        <v>673</v>
      </c>
      <c r="B243" s="2" t="s">
        <v>673</v>
      </c>
      <c r="C243" s="2" t="s">
        <v>36</v>
      </c>
      <c r="D243" s="2" t="s">
        <v>37</v>
      </c>
      <c r="E243" s="5">
        <v>-30046</v>
      </c>
      <c r="F243" s="3" t="s">
        <v>214</v>
      </c>
      <c r="G243" s="3" t="s">
        <v>676</v>
      </c>
      <c r="H243" s="2" t="s">
        <v>21</v>
      </c>
      <c r="I243" s="2" t="s">
        <v>677</v>
      </c>
      <c r="J243" s="3" t="str">
        <f>HYPERLINK("https://www.boe.es/gazeta/dias/1817/09/25/pdfs/GMD-1817-115.pdf#page=4","Abrir facsímil")</f>
        <v>Abrir facsímil</v>
      </c>
      <c r="K243" s="3" t="s">
        <v>23</v>
      </c>
    </row>
    <row r="244" spans="1:11" ht="42" customHeight="1">
      <c r="A244" s="2" t="s">
        <v>678</v>
      </c>
      <c r="B244" s="2" t="s">
        <v>679</v>
      </c>
      <c r="C244" s="2" t="s">
        <v>36</v>
      </c>
      <c r="D244" s="2" t="s">
        <v>37</v>
      </c>
      <c r="E244" s="5">
        <v>-30289</v>
      </c>
      <c r="F244" s="3" t="s">
        <v>193</v>
      </c>
      <c r="G244" s="3" t="s">
        <v>77</v>
      </c>
      <c r="H244" s="2" t="s">
        <v>21</v>
      </c>
      <c r="I244" s="2" t="s">
        <v>680</v>
      </c>
      <c r="J244" s="3" t="str">
        <f>HYPERLINK("https://www.boe.es/gazeta/dias/1817/01/25/pdfs/GMD-1817-11.pdf#page=8","Abrir facsímil")</f>
        <v>Abrir facsímil</v>
      </c>
      <c r="K244" s="3" t="s">
        <v>23</v>
      </c>
    </row>
    <row r="245" spans="1:11" ht="42" customHeight="1">
      <c r="A245" s="2" t="s">
        <v>681</v>
      </c>
      <c r="B245" s="2" t="s">
        <v>682</v>
      </c>
      <c r="C245" s="2" t="s">
        <v>43</v>
      </c>
      <c r="D245" s="2" t="s">
        <v>44</v>
      </c>
      <c r="E245" s="5">
        <v>-30307</v>
      </c>
      <c r="F245" s="3" t="s">
        <v>67</v>
      </c>
      <c r="G245" s="3" t="s">
        <v>68</v>
      </c>
      <c r="H245" s="2" t="s">
        <v>27</v>
      </c>
      <c r="I245" s="2" t="s">
        <v>683</v>
      </c>
      <c r="J245" s="3" t="str">
        <f>HYPERLINK("https://www.boe.es/gazeta/dias/1817/01/07/pdfs/GMD-1817-3.pdf#page=8","Abrir facsímil")</f>
        <v>Abrir facsímil</v>
      </c>
      <c r="K245" s="3" t="s">
        <v>29</v>
      </c>
    </row>
    <row r="246" spans="1:11" ht="42" customHeight="1">
      <c r="A246" s="2" t="s">
        <v>684</v>
      </c>
      <c r="B246" s="2" t="s">
        <v>685</v>
      </c>
      <c r="C246" s="2" t="s">
        <v>36</v>
      </c>
      <c r="D246" s="2" t="s">
        <v>37</v>
      </c>
      <c r="E246" s="5">
        <v>-30156</v>
      </c>
      <c r="F246" s="3" t="s">
        <v>635</v>
      </c>
      <c r="G246" s="3" t="s">
        <v>39</v>
      </c>
      <c r="H246" s="2" t="s">
        <v>21</v>
      </c>
      <c r="I246" s="2" t="s">
        <v>686</v>
      </c>
      <c r="J246" s="3" t="str">
        <f>HYPERLINK("https://www.boe.es/gazeta/dias/1817/06/07/pdfs/GMD-1817-68.pdf#page=5","Abrir facsímil")</f>
        <v>Abrir facsímil</v>
      </c>
      <c r="K246" s="3" t="s">
        <v>23</v>
      </c>
    </row>
    <row r="247" spans="1:11" ht="42" customHeight="1">
      <c r="A247" s="2" t="s">
        <v>687</v>
      </c>
      <c r="B247" s="2" t="s">
        <v>687</v>
      </c>
      <c r="C247" s="2" t="s">
        <v>17</v>
      </c>
      <c r="D247" s="2" t="s">
        <v>18</v>
      </c>
      <c r="E247" s="5">
        <v>-30256</v>
      </c>
      <c r="F247" s="3" t="s">
        <v>302</v>
      </c>
      <c r="G247" s="3" t="s">
        <v>688</v>
      </c>
      <c r="H247" s="2" t="s">
        <v>21</v>
      </c>
      <c r="I247" s="2" t="s">
        <v>689</v>
      </c>
      <c r="J247" s="3" t="str">
        <f>HYPERLINK("https://www.boe.es/gazeta/dias/1817/02/27/pdfs/GMD-1817-25.pdf#page=6","Abrir facsímil")</f>
        <v>Abrir facsímil</v>
      </c>
      <c r="K247" s="3" t="s">
        <v>23</v>
      </c>
    </row>
    <row r="248" spans="1:11" ht="42" customHeight="1">
      <c r="A248" s="2" t="s">
        <v>687</v>
      </c>
      <c r="B248" s="2" t="s">
        <v>687</v>
      </c>
      <c r="C248" s="2" t="s">
        <v>17</v>
      </c>
      <c r="D248" s="2" t="s">
        <v>18</v>
      </c>
      <c r="E248" s="5">
        <v>-30170</v>
      </c>
      <c r="F248" s="3" t="s">
        <v>98</v>
      </c>
      <c r="G248" s="3" t="s">
        <v>77</v>
      </c>
      <c r="H248" s="2" t="s">
        <v>21</v>
      </c>
      <c r="I248" s="2" t="s">
        <v>690</v>
      </c>
      <c r="J248" s="3" t="str">
        <f>HYPERLINK("https://www.boe.es/gazeta/dias/1817/05/24/pdfs/GMD-1817-62.pdf#page=8","Abrir facsímil")</f>
        <v>Abrir facsímil</v>
      </c>
      <c r="K248" s="3" t="s">
        <v>23</v>
      </c>
    </row>
    <row r="249" spans="1:11" ht="42" customHeight="1">
      <c r="A249" s="2" t="s">
        <v>687</v>
      </c>
      <c r="B249" s="2" t="s">
        <v>687</v>
      </c>
      <c r="C249" s="2" t="s">
        <v>36</v>
      </c>
      <c r="D249" s="2" t="s">
        <v>37</v>
      </c>
      <c r="E249" s="5">
        <v>-30062</v>
      </c>
      <c r="F249" s="3" t="s">
        <v>444</v>
      </c>
      <c r="G249" s="3" t="s">
        <v>691</v>
      </c>
      <c r="H249" s="2" t="s">
        <v>21</v>
      </c>
      <c r="I249" s="2" t="s">
        <v>692</v>
      </c>
      <c r="J249" s="3" t="str">
        <f>HYPERLINK("https://www.boe.es/gazeta/dias/1817/09/09/pdfs/GMD-1817-108.pdf#page=8","Abrir facsímil")</f>
        <v>Abrir facsímil</v>
      </c>
      <c r="K249" s="3" t="s">
        <v>23</v>
      </c>
    </row>
    <row r="250" spans="1:11" ht="42" customHeight="1">
      <c r="A250" s="2" t="s">
        <v>687</v>
      </c>
      <c r="B250" s="2" t="s">
        <v>687</v>
      </c>
      <c r="C250" s="2" t="s">
        <v>36</v>
      </c>
      <c r="D250" s="2" t="s">
        <v>37</v>
      </c>
      <c r="E250" s="5">
        <v>-29985</v>
      </c>
      <c r="F250" s="3" t="s">
        <v>76</v>
      </c>
      <c r="G250" s="3" t="s">
        <v>82</v>
      </c>
      <c r="H250" s="2" t="s">
        <v>21</v>
      </c>
      <c r="I250" s="2" t="s">
        <v>693</v>
      </c>
      <c r="J250" s="3" t="str">
        <f>HYPERLINK("https://www.boe.es/gazeta/dias/1817/11/25/pdfs/GMD-1817-141.pdf#page=12","Abrir facsímil")</f>
        <v>Abrir facsímil</v>
      </c>
      <c r="K250" s="3" t="s">
        <v>23</v>
      </c>
    </row>
    <row r="251" spans="1:11" ht="42" customHeight="1">
      <c r="A251" s="2" t="s">
        <v>694</v>
      </c>
      <c r="B251" s="2" t="s">
        <v>695</v>
      </c>
      <c r="C251" s="2" t="s">
        <v>55</v>
      </c>
      <c r="D251" s="2" t="s">
        <v>44</v>
      </c>
      <c r="E251" s="5">
        <v>-30242</v>
      </c>
      <c r="F251" s="3" t="s">
        <v>62</v>
      </c>
      <c r="G251" s="3" t="s">
        <v>77</v>
      </c>
      <c r="H251" s="2" t="s">
        <v>21</v>
      </c>
      <c r="I251" s="2" t="s">
        <v>696</v>
      </c>
      <c r="J251" s="3" t="str">
        <f>HYPERLINK("https://www.boe.es/gazeta/dias/1817/03/13/pdfs/GMD-1817-31.pdf#page=8","Abrir facsímil")</f>
        <v>Abrir facsímil</v>
      </c>
      <c r="K251" s="3" t="s">
        <v>23</v>
      </c>
    </row>
    <row r="252" spans="1:11" ht="42" customHeight="1">
      <c r="A252" s="2" t="s">
        <v>697</v>
      </c>
      <c r="B252" s="2" t="s">
        <v>698</v>
      </c>
      <c r="C252" s="2" t="s">
        <v>17</v>
      </c>
      <c r="D252" s="2" t="s">
        <v>18</v>
      </c>
      <c r="E252" s="5">
        <v>-30030</v>
      </c>
      <c r="F252" s="3" t="s">
        <v>508</v>
      </c>
      <c r="G252" s="3" t="s">
        <v>82</v>
      </c>
      <c r="H252" s="2" t="s">
        <v>21</v>
      </c>
      <c r="I252" s="2" t="s">
        <v>699</v>
      </c>
      <c r="J252" s="3" t="str">
        <f>HYPERLINK("https://www.boe.es/gazeta/dias/1817/10/11/pdfs/GMD-1817-122.pdf#page=12","Abrir facsímil")</f>
        <v>Abrir facsímil</v>
      </c>
      <c r="K252" s="3" t="s">
        <v>23</v>
      </c>
    </row>
    <row r="253" spans="1:11" ht="42" customHeight="1">
      <c r="A253" s="2" t="s">
        <v>700</v>
      </c>
      <c r="B253" s="2" t="s">
        <v>700</v>
      </c>
      <c r="C253" s="2" t="s">
        <v>510</v>
      </c>
      <c r="D253" s="2" t="s">
        <v>44</v>
      </c>
      <c r="E253" s="5">
        <v>-30233</v>
      </c>
      <c r="F253" s="3" t="s">
        <v>577</v>
      </c>
      <c r="G253" s="3" t="s">
        <v>72</v>
      </c>
      <c r="H253" s="2" t="s">
        <v>21</v>
      </c>
      <c r="I253" s="2" t="s">
        <v>701</v>
      </c>
      <c r="J253" s="3" t="str">
        <f>HYPERLINK("https://www.boe.es/gazeta/dias/1817/03/22/pdfs/GMD-1817-35.pdf#page=1","Abrir facsímil")</f>
        <v>Abrir facsímil</v>
      </c>
      <c r="K253" s="3" t="s">
        <v>23</v>
      </c>
    </row>
    <row r="254" spans="1:11" ht="42" customHeight="1">
      <c r="A254" s="2" t="s">
        <v>700</v>
      </c>
      <c r="B254" s="2" t="s">
        <v>700</v>
      </c>
      <c r="C254" s="2" t="s">
        <v>97</v>
      </c>
      <c r="D254" s="2" t="s">
        <v>44</v>
      </c>
      <c r="E254" s="5">
        <v>-30233</v>
      </c>
      <c r="F254" s="3" t="s">
        <v>577</v>
      </c>
      <c r="G254" s="3" t="s">
        <v>629</v>
      </c>
      <c r="H254" s="2" t="s">
        <v>21</v>
      </c>
      <c r="I254" s="2" t="s">
        <v>702</v>
      </c>
      <c r="J254" s="3" t="str">
        <f>HYPERLINK("https://www.boe.es/gazeta/dias/1817/03/22/pdfs/GMD-1817-35.pdf#page=2","Abrir facsímil")</f>
        <v>Abrir facsímil</v>
      </c>
      <c r="K254" s="3" t="s">
        <v>23</v>
      </c>
    </row>
    <row r="255" spans="1:11" ht="42" customHeight="1">
      <c r="A255" s="2" t="s">
        <v>703</v>
      </c>
      <c r="B255" s="2" t="s">
        <v>704</v>
      </c>
      <c r="C255" s="2" t="s">
        <v>510</v>
      </c>
      <c r="D255" s="2" t="s">
        <v>44</v>
      </c>
      <c r="E255" s="5">
        <v>-29988</v>
      </c>
      <c r="F255" s="3" t="s">
        <v>569</v>
      </c>
      <c r="G255" s="3" t="s">
        <v>20</v>
      </c>
      <c r="H255" s="2" t="s">
        <v>21</v>
      </c>
      <c r="I255" s="2" t="s">
        <v>705</v>
      </c>
      <c r="J255" s="3" t="str">
        <f>HYPERLINK("https://www.boe.es/gazeta/dias/1817/11/22/pdfs/GMD-1817-140.pdf#page=7","Abrir facsímil")</f>
        <v>Abrir facsímil</v>
      </c>
      <c r="K255" s="3" t="s">
        <v>23</v>
      </c>
    </row>
    <row r="256" spans="1:11" ht="42" customHeight="1">
      <c r="A256" s="2" t="s">
        <v>706</v>
      </c>
      <c r="B256" s="2" t="s">
        <v>707</v>
      </c>
      <c r="C256" s="2" t="s">
        <v>36</v>
      </c>
      <c r="D256" s="2" t="s">
        <v>37</v>
      </c>
      <c r="E256" s="5">
        <v>-30027</v>
      </c>
      <c r="F256" s="3" t="s">
        <v>173</v>
      </c>
      <c r="G256" s="3" t="s">
        <v>708</v>
      </c>
      <c r="H256" s="2" t="s">
        <v>21</v>
      </c>
      <c r="I256" s="2" t="s">
        <v>709</v>
      </c>
      <c r="J256" s="3" t="str">
        <f>HYPERLINK("https://www.boe.es/gazeta/dias/1817/10/14/pdfs/GMD-1817-123.pdf#page=6","Abrir facsímil")</f>
        <v>Abrir facsímil</v>
      </c>
      <c r="K256" s="3" t="s">
        <v>23</v>
      </c>
    </row>
    <row r="257" spans="1:11" ht="42" customHeight="1">
      <c r="A257" s="2" t="s">
        <v>710</v>
      </c>
      <c r="B257" s="2" t="s">
        <v>711</v>
      </c>
      <c r="C257" s="2" t="s">
        <v>97</v>
      </c>
      <c r="D257" s="2" t="s">
        <v>44</v>
      </c>
      <c r="E257" s="5">
        <v>-29990</v>
      </c>
      <c r="F257" s="3" t="s">
        <v>542</v>
      </c>
      <c r="G257" s="3" t="s">
        <v>77</v>
      </c>
      <c r="H257" s="2" t="s">
        <v>21</v>
      </c>
      <c r="I257" s="2" t="s">
        <v>712</v>
      </c>
      <c r="J257" s="3" t="str">
        <f>HYPERLINK("https://www.boe.es/gazeta/dias/1817/11/20/pdfs/GMD-1817-139.pdf#page=8","Abrir facsímil")</f>
        <v>Abrir facsímil</v>
      </c>
      <c r="K257" s="3" t="s">
        <v>23</v>
      </c>
    </row>
    <row r="258" spans="1:11" ht="42" customHeight="1">
      <c r="A258" s="2" t="s">
        <v>713</v>
      </c>
      <c r="B258" s="2" t="s">
        <v>714</v>
      </c>
      <c r="C258" s="2" t="s">
        <v>36</v>
      </c>
      <c r="D258" s="2" t="s">
        <v>37</v>
      </c>
      <c r="E258" s="5">
        <v>-30261</v>
      </c>
      <c r="F258" s="3" t="s">
        <v>226</v>
      </c>
      <c r="G258" s="3" t="s">
        <v>20</v>
      </c>
      <c r="H258" s="2" t="s">
        <v>21</v>
      </c>
      <c r="I258" s="2" t="s">
        <v>715</v>
      </c>
      <c r="J258" s="3" t="str">
        <f>HYPERLINK("https://www.boe.es/gazeta/dias/1817/02/22/pdfs/GMD-1817-23.pdf#page=7","Abrir facsímil")</f>
        <v>Abrir facsímil</v>
      </c>
      <c r="K258" s="3" t="s">
        <v>23</v>
      </c>
    </row>
    <row r="259" spans="1:11" ht="42" customHeight="1">
      <c r="A259" s="2" t="s">
        <v>716</v>
      </c>
      <c r="B259" s="2" t="s">
        <v>717</v>
      </c>
      <c r="C259" s="2" t="s">
        <v>49</v>
      </c>
      <c r="D259" s="2" t="s">
        <v>44</v>
      </c>
      <c r="E259" s="5">
        <v>-30132</v>
      </c>
      <c r="F259" s="3" t="s">
        <v>718</v>
      </c>
      <c r="G259" s="3" t="s">
        <v>77</v>
      </c>
      <c r="H259" s="2" t="s">
        <v>27</v>
      </c>
      <c r="I259" s="2" t="s">
        <v>719</v>
      </c>
      <c r="J259" s="3" t="str">
        <f>HYPERLINK("https://www.boe.es/gazeta/dias/1817/07/01/pdfs/GMD-1817-78.pdf#page=8","Abrir facsímil")</f>
        <v>Abrir facsímil</v>
      </c>
      <c r="K259" s="3" t="s">
        <v>29</v>
      </c>
    </row>
    <row r="260" spans="1:11" ht="42" customHeight="1">
      <c r="A260" s="2" t="s">
        <v>720</v>
      </c>
      <c r="B260" s="2" t="s">
        <v>721</v>
      </c>
      <c r="C260" s="2" t="s">
        <v>43</v>
      </c>
      <c r="D260" s="2" t="s">
        <v>44</v>
      </c>
      <c r="E260" s="5">
        <v>-29988</v>
      </c>
      <c r="F260" s="3" t="s">
        <v>569</v>
      </c>
      <c r="G260" s="3" t="s">
        <v>144</v>
      </c>
      <c r="H260" s="2" t="s">
        <v>21</v>
      </c>
      <c r="I260" s="2" t="s">
        <v>722</v>
      </c>
      <c r="J260" s="3" t="str">
        <f>HYPERLINK("https://www.boe.es/gazeta/dias/1817/11/22/pdfs/GMD-1817-140.pdf#page=4","Abrir facsímil")</f>
        <v>Abrir facsímil</v>
      </c>
      <c r="K260" s="3" t="s">
        <v>23</v>
      </c>
    </row>
    <row r="261" spans="1:11" ht="42" customHeight="1">
      <c r="A261" s="2" t="s">
        <v>723</v>
      </c>
      <c r="B261" s="2" t="s">
        <v>724</v>
      </c>
      <c r="C261" s="2" t="s">
        <v>36</v>
      </c>
      <c r="D261" s="2" t="s">
        <v>37</v>
      </c>
      <c r="E261" s="5">
        <v>-30200</v>
      </c>
      <c r="F261" s="3" t="s">
        <v>725</v>
      </c>
      <c r="G261" s="3" t="s">
        <v>57</v>
      </c>
      <c r="H261" s="2" t="s">
        <v>21</v>
      </c>
      <c r="I261" s="2" t="s">
        <v>726</v>
      </c>
      <c r="J261" s="3" t="str">
        <f>HYPERLINK("https://www.boe.es/gazeta/dias/1817/04/24/pdfs/GMD-1817-49.pdf#page=6","Abrir facsímil")</f>
        <v>Abrir facsímil</v>
      </c>
      <c r="K261" s="3" t="s">
        <v>23</v>
      </c>
    </row>
    <row r="262" spans="1:11" ht="42" customHeight="1">
      <c r="A262" s="2" t="s">
        <v>727</v>
      </c>
      <c r="B262" s="2" t="s">
        <v>728</v>
      </c>
      <c r="C262" s="2" t="s">
        <v>36</v>
      </c>
      <c r="D262" s="2" t="s">
        <v>37</v>
      </c>
      <c r="E262" s="5">
        <v>-29964</v>
      </c>
      <c r="F262" s="3" t="s">
        <v>482</v>
      </c>
      <c r="G262" s="3" t="s">
        <v>112</v>
      </c>
      <c r="H262" s="2" t="s">
        <v>21</v>
      </c>
      <c r="I262" s="2" t="s">
        <v>729</v>
      </c>
      <c r="J262" s="3" t="str">
        <f>HYPERLINK("https://www.boe.es/gazeta/dias/1817/12/16/pdfs/GMD-1817-150.pdf#page=11","Abrir facsímil")</f>
        <v>Abrir facsímil</v>
      </c>
      <c r="K262" s="3" t="s">
        <v>23</v>
      </c>
    </row>
    <row r="263" spans="1:11" ht="42" customHeight="1">
      <c r="A263" s="2" t="s">
        <v>730</v>
      </c>
      <c r="B263" s="2" t="s">
        <v>731</v>
      </c>
      <c r="C263" s="2" t="s">
        <v>43</v>
      </c>
      <c r="D263" s="2" t="s">
        <v>44</v>
      </c>
      <c r="E263" s="5">
        <v>-29983</v>
      </c>
      <c r="F263" s="3" t="s">
        <v>148</v>
      </c>
      <c r="G263" s="3" t="s">
        <v>654</v>
      </c>
      <c r="H263" s="2" t="s">
        <v>21</v>
      </c>
      <c r="I263" s="2" t="s">
        <v>732</v>
      </c>
      <c r="J263" s="3" t="str">
        <f>HYPERLINK("https://www.boe.es/gazeta/dias/1817/11/27/pdfs/GMD-1817-142.pdf#page=4","Abrir facsímil")</f>
        <v>Abrir facsímil</v>
      </c>
      <c r="K263" s="3" t="s">
        <v>23</v>
      </c>
    </row>
    <row r="264" spans="1:11" ht="42" customHeight="1">
      <c r="A264" s="2" t="s">
        <v>733</v>
      </c>
      <c r="B264" s="2" t="s">
        <v>734</v>
      </c>
      <c r="C264" s="2" t="s">
        <v>17</v>
      </c>
      <c r="D264" s="2" t="s">
        <v>18</v>
      </c>
      <c r="E264" s="5">
        <v>-29983</v>
      </c>
      <c r="F264" s="3" t="s">
        <v>148</v>
      </c>
      <c r="G264" s="3" t="s">
        <v>654</v>
      </c>
      <c r="H264" s="2" t="s">
        <v>21</v>
      </c>
      <c r="I264" s="2" t="s">
        <v>735</v>
      </c>
      <c r="J264" s="3" t="str">
        <f>HYPERLINK("https://www.boe.es/gazeta/dias/1817/11/27/pdfs/GMD-1817-142.pdf#page=4","Abrir facsímil")</f>
        <v>Abrir facsímil</v>
      </c>
      <c r="K264" s="3" t="s">
        <v>23</v>
      </c>
    </row>
    <row r="265" spans="1:11" ht="42" customHeight="1">
      <c r="A265" s="2" t="s">
        <v>736</v>
      </c>
      <c r="B265" s="2" t="s">
        <v>736</v>
      </c>
      <c r="C265" s="2" t="s">
        <v>36</v>
      </c>
      <c r="D265" s="2" t="s">
        <v>37</v>
      </c>
      <c r="E265" s="5">
        <v>-30046</v>
      </c>
      <c r="F265" s="3" t="s">
        <v>214</v>
      </c>
      <c r="G265" s="3" t="s">
        <v>551</v>
      </c>
      <c r="H265" s="2" t="s">
        <v>21</v>
      </c>
      <c r="I265" s="2" t="s">
        <v>737</v>
      </c>
      <c r="J265" s="3" t="str">
        <f>HYPERLINK("https://www.boe.es/gazeta/dias/1817/09/25/pdfs/GMD-1817-115.pdf#page=3","Abrir facsímil")</f>
        <v>Abrir facsímil</v>
      </c>
      <c r="K265" s="3" t="s">
        <v>23</v>
      </c>
    </row>
    <row r="266" spans="1:11" ht="42" customHeight="1">
      <c r="A266" s="2" t="s">
        <v>738</v>
      </c>
      <c r="B266" s="2" t="s">
        <v>738</v>
      </c>
      <c r="C266" s="2" t="s">
        <v>43</v>
      </c>
      <c r="D266" s="2" t="s">
        <v>44</v>
      </c>
      <c r="E266" s="5">
        <v>-30307</v>
      </c>
      <c r="F266" s="3" t="s">
        <v>67</v>
      </c>
      <c r="G266" s="3" t="s">
        <v>739</v>
      </c>
      <c r="H266" s="2" t="s">
        <v>21</v>
      </c>
      <c r="I266" s="2" t="s">
        <v>740</v>
      </c>
      <c r="J266" s="3" t="str">
        <f>HYPERLINK("https://www.boe.es/gazeta/dias/1817/01/07/pdfs/GMD-1817-3.pdf#page=6","Abrir facsímil")</f>
        <v>Abrir facsímil</v>
      </c>
      <c r="K266" s="3" t="s">
        <v>23</v>
      </c>
    </row>
    <row r="267" spans="1:11" ht="42" customHeight="1">
      <c r="A267" s="2" t="s">
        <v>738</v>
      </c>
      <c r="B267" s="2" t="s">
        <v>738</v>
      </c>
      <c r="C267" s="2" t="s">
        <v>17</v>
      </c>
      <c r="D267" s="2" t="s">
        <v>18</v>
      </c>
      <c r="E267" s="5">
        <v>-30284</v>
      </c>
      <c r="F267" s="3" t="s">
        <v>741</v>
      </c>
      <c r="G267" s="3" t="s">
        <v>742</v>
      </c>
      <c r="H267" s="2" t="s">
        <v>21</v>
      </c>
      <c r="I267" s="2" t="s">
        <v>743</v>
      </c>
      <c r="J267" s="3" t="str">
        <f>HYPERLINK("https://www.boe.es/gazeta/dias/1817/01/30/pdfs/GMD-1817-13.pdf#page=4","Abrir facsímil")</f>
        <v>Abrir facsímil</v>
      </c>
      <c r="K267" s="3" t="s">
        <v>23</v>
      </c>
    </row>
    <row r="268" spans="1:11" ht="42" customHeight="1">
      <c r="A268" s="2" t="s">
        <v>738</v>
      </c>
      <c r="B268" s="2" t="s">
        <v>738</v>
      </c>
      <c r="C268" s="2" t="s">
        <v>36</v>
      </c>
      <c r="D268" s="2" t="s">
        <v>37</v>
      </c>
      <c r="E268" s="5">
        <v>-30226</v>
      </c>
      <c r="F268" s="3" t="s">
        <v>416</v>
      </c>
      <c r="G268" s="3" t="s">
        <v>20</v>
      </c>
      <c r="H268" s="2" t="s">
        <v>21</v>
      </c>
      <c r="I268" s="2" t="s">
        <v>744</v>
      </c>
      <c r="J268" s="3" t="str">
        <f>HYPERLINK("https://www.boe.es/gazeta/dias/1817/03/29/pdfs/GMD-1817-38.pdf#page=7","Abrir facsímil")</f>
        <v>Abrir facsímil</v>
      </c>
      <c r="K268" s="3" t="s">
        <v>23</v>
      </c>
    </row>
    <row r="269" spans="1:11" ht="42" customHeight="1">
      <c r="A269" s="2" t="s">
        <v>738</v>
      </c>
      <c r="B269" s="2" t="s">
        <v>738</v>
      </c>
      <c r="C269" s="2" t="s">
        <v>36</v>
      </c>
      <c r="D269" s="2" t="s">
        <v>37</v>
      </c>
      <c r="E269" s="5">
        <v>-30212</v>
      </c>
      <c r="F269" s="3" t="s">
        <v>745</v>
      </c>
      <c r="G269" s="3" t="s">
        <v>39</v>
      </c>
      <c r="H269" s="2" t="s">
        <v>21</v>
      </c>
      <c r="I269" s="2" t="s">
        <v>746</v>
      </c>
      <c r="J269" s="3" t="str">
        <f>HYPERLINK("https://www.boe.es/gazeta/dias/1817/04/12/pdfs/GMD-1817-44.pdf#page=5","Abrir facsímil")</f>
        <v>Abrir facsímil</v>
      </c>
      <c r="K269" s="3" t="s">
        <v>23</v>
      </c>
    </row>
    <row r="270" spans="1:11" ht="42" customHeight="1">
      <c r="A270" s="2" t="s">
        <v>738</v>
      </c>
      <c r="B270" s="2" t="s">
        <v>738</v>
      </c>
      <c r="C270" s="2" t="s">
        <v>36</v>
      </c>
      <c r="D270" s="2" t="s">
        <v>37</v>
      </c>
      <c r="E270" s="5">
        <v>-30109</v>
      </c>
      <c r="F270" s="3" t="s">
        <v>205</v>
      </c>
      <c r="G270" s="3" t="s">
        <v>206</v>
      </c>
      <c r="H270" s="2" t="s">
        <v>21</v>
      </c>
      <c r="I270" s="2" t="s">
        <v>747</v>
      </c>
      <c r="J270" s="3" t="str">
        <f>HYPERLINK("https://www.boe.es/gazeta/dias/1817/07/24/pdfs/GMD-1817-88.pdf#page=16","Abrir facsímil")</f>
        <v>Abrir facsímil</v>
      </c>
      <c r="K270" s="3" t="s">
        <v>23</v>
      </c>
    </row>
    <row r="271" spans="1:11" ht="42" customHeight="1">
      <c r="A271" s="2" t="s">
        <v>738</v>
      </c>
      <c r="B271" s="2" t="s">
        <v>738</v>
      </c>
      <c r="C271" s="2" t="s">
        <v>43</v>
      </c>
      <c r="D271" s="2" t="s">
        <v>44</v>
      </c>
      <c r="E271" s="5">
        <v>-30100</v>
      </c>
      <c r="F271" s="3" t="s">
        <v>436</v>
      </c>
      <c r="G271" s="3" t="s">
        <v>39</v>
      </c>
      <c r="H271" s="2" t="s">
        <v>21</v>
      </c>
      <c r="I271" s="2" t="s">
        <v>748</v>
      </c>
      <c r="J271" s="3" t="str">
        <f>HYPERLINK("https://www.boe.es/gazeta/dias/1817/08/02/pdfs/GMD-1817-92.pdf#page=5","Abrir facsímil")</f>
        <v>Abrir facsímil</v>
      </c>
      <c r="K271" s="3" t="s">
        <v>23</v>
      </c>
    </row>
    <row r="272" spans="1:11" ht="42" customHeight="1">
      <c r="A272" s="2" t="s">
        <v>738</v>
      </c>
      <c r="B272" s="2" t="s">
        <v>738</v>
      </c>
      <c r="C272" s="2" t="s">
        <v>36</v>
      </c>
      <c r="D272" s="2" t="s">
        <v>37</v>
      </c>
      <c r="E272" s="5">
        <v>-29976</v>
      </c>
      <c r="F272" s="3" t="s">
        <v>81</v>
      </c>
      <c r="G272" s="3" t="s">
        <v>749</v>
      </c>
      <c r="H272" s="2" t="s">
        <v>21</v>
      </c>
      <c r="I272" s="2" t="s">
        <v>750</v>
      </c>
      <c r="J272" s="3" t="str">
        <f>HYPERLINK("https://www.boe.es/gazeta/dias/1817/12/04/pdfs/GMD-1817-145.pdf#page=5","Abrir facsímil")</f>
        <v>Abrir facsímil</v>
      </c>
      <c r="K272" s="3" t="s">
        <v>23</v>
      </c>
    </row>
    <row r="273" spans="1:11" ht="42" customHeight="1">
      <c r="A273" s="2" t="s">
        <v>751</v>
      </c>
      <c r="B273" s="2" t="s">
        <v>752</v>
      </c>
      <c r="C273" s="2" t="s">
        <v>36</v>
      </c>
      <c r="D273" s="2" t="s">
        <v>37</v>
      </c>
      <c r="E273" s="5">
        <v>-30240</v>
      </c>
      <c r="F273" s="3" t="s">
        <v>347</v>
      </c>
      <c r="G273" s="3" t="s">
        <v>77</v>
      </c>
      <c r="H273" s="2" t="s">
        <v>21</v>
      </c>
      <c r="I273" s="2" t="s">
        <v>753</v>
      </c>
      <c r="J273" s="3" t="str">
        <f>HYPERLINK("https://www.boe.es/gazeta/dias/1817/03/15/pdfs/GMD-1817-32.pdf#page=8","Abrir facsímil")</f>
        <v>Abrir facsímil</v>
      </c>
      <c r="K273" s="3" t="s">
        <v>23</v>
      </c>
    </row>
    <row r="274" spans="1:11" ht="42" customHeight="1">
      <c r="A274" s="2" t="s">
        <v>751</v>
      </c>
      <c r="B274" s="2" t="s">
        <v>752</v>
      </c>
      <c r="C274" s="2" t="s">
        <v>17</v>
      </c>
      <c r="D274" s="2" t="s">
        <v>18</v>
      </c>
      <c r="E274" s="5">
        <v>-29962</v>
      </c>
      <c r="F274" s="3" t="s">
        <v>485</v>
      </c>
      <c r="G274" s="3" t="s">
        <v>77</v>
      </c>
      <c r="H274" s="2" t="s">
        <v>21</v>
      </c>
      <c r="I274" s="2" t="s">
        <v>754</v>
      </c>
      <c r="J274" s="3" t="str">
        <f>HYPERLINK("https://www.boe.es/gazeta/dias/1817/12/18/pdfs/GMD-1817-151.pdf#page=8","Abrir facsímil")</f>
        <v>Abrir facsímil</v>
      </c>
      <c r="K274" s="3" t="s">
        <v>23</v>
      </c>
    </row>
    <row r="275" spans="1:11" ht="42" customHeight="1">
      <c r="A275" s="2" t="s">
        <v>755</v>
      </c>
      <c r="B275" s="2" t="s">
        <v>756</v>
      </c>
      <c r="C275" s="2" t="s">
        <v>36</v>
      </c>
      <c r="D275" s="2" t="s">
        <v>37</v>
      </c>
      <c r="E275" s="5">
        <v>-30018</v>
      </c>
      <c r="F275" s="3" t="s">
        <v>757</v>
      </c>
      <c r="G275" s="3" t="s">
        <v>77</v>
      </c>
      <c r="H275" s="2" t="s">
        <v>21</v>
      </c>
      <c r="I275" s="2" t="s">
        <v>758</v>
      </c>
      <c r="J275" s="3" t="str">
        <f>HYPERLINK("https://www.boe.es/gazeta/dias/1817/10/23/pdfs/GMD-1817-127.pdf#page=8","Abrir facsímil")</f>
        <v>Abrir facsímil</v>
      </c>
      <c r="K275" s="3" t="s">
        <v>23</v>
      </c>
    </row>
    <row r="276" spans="1:11" ht="42" customHeight="1">
      <c r="A276" s="2" t="s">
        <v>759</v>
      </c>
      <c r="B276" s="2" t="s">
        <v>760</v>
      </c>
      <c r="C276" s="2" t="s">
        <v>36</v>
      </c>
      <c r="D276" s="2" t="s">
        <v>37</v>
      </c>
      <c r="E276" s="5">
        <v>-30128</v>
      </c>
      <c r="F276" s="3" t="s">
        <v>761</v>
      </c>
      <c r="G276" s="3" t="s">
        <v>20</v>
      </c>
      <c r="H276" s="2" t="s">
        <v>21</v>
      </c>
      <c r="I276" s="2" t="s">
        <v>762</v>
      </c>
      <c r="J276" s="3" t="str">
        <f>HYPERLINK("https://www.boe.es/gazeta/dias/1817/07/05/pdfs/GMD-1817-80.pdf#page=7","Abrir facsímil")</f>
        <v>Abrir facsímil</v>
      </c>
      <c r="K276" s="3" t="s">
        <v>23</v>
      </c>
    </row>
    <row r="277" spans="1:11" ht="42" customHeight="1">
      <c r="A277" s="2" t="s">
        <v>763</v>
      </c>
      <c r="B277" s="2" t="s">
        <v>764</v>
      </c>
      <c r="C277" s="2" t="s">
        <v>17</v>
      </c>
      <c r="D277" s="2" t="s">
        <v>18</v>
      </c>
      <c r="E277" s="5">
        <v>-30065</v>
      </c>
      <c r="F277" s="3" t="s">
        <v>201</v>
      </c>
      <c r="G277" s="3" t="s">
        <v>57</v>
      </c>
      <c r="H277" s="2" t="s">
        <v>21</v>
      </c>
      <c r="I277" s="2" t="s">
        <v>765</v>
      </c>
      <c r="J277" s="3" t="str">
        <f>HYPERLINK("https://www.boe.es/gazeta/dias/1817/09/06/pdfs/GMD-1817-107.pdf#page=6","Abrir facsímil")</f>
        <v>Abrir facsímil</v>
      </c>
      <c r="K277" s="3" t="s">
        <v>23</v>
      </c>
    </row>
    <row r="278" spans="1:11" ht="42" customHeight="1">
      <c r="A278" s="2" t="s">
        <v>766</v>
      </c>
      <c r="B278" s="2" t="s">
        <v>767</v>
      </c>
      <c r="C278" s="2" t="s">
        <v>43</v>
      </c>
      <c r="D278" s="2" t="s">
        <v>44</v>
      </c>
      <c r="E278" s="5">
        <v>-30130</v>
      </c>
      <c r="F278" s="3" t="s">
        <v>768</v>
      </c>
      <c r="G278" s="3" t="s">
        <v>39</v>
      </c>
      <c r="H278" s="2" t="s">
        <v>21</v>
      </c>
      <c r="I278" s="2" t="s">
        <v>769</v>
      </c>
      <c r="J278" s="3" t="str">
        <f>HYPERLINK("https://www.boe.es/gazeta/dias/1817/07/03/pdfs/GMD-1817-79.pdf#page=5","Abrir facsímil")</f>
        <v>Abrir facsímil</v>
      </c>
      <c r="K278" s="3" t="s">
        <v>23</v>
      </c>
    </row>
    <row r="279" spans="1:11" ht="42" customHeight="1">
      <c r="A279" s="2" t="s">
        <v>770</v>
      </c>
      <c r="B279" s="2" t="s">
        <v>771</v>
      </c>
      <c r="C279" s="2" t="s">
        <v>17</v>
      </c>
      <c r="D279" s="2" t="s">
        <v>18</v>
      </c>
      <c r="E279" s="5">
        <v>-30037</v>
      </c>
      <c r="F279" s="3" t="s">
        <v>453</v>
      </c>
      <c r="G279" s="3" t="s">
        <v>77</v>
      </c>
      <c r="H279" s="2" t="s">
        <v>21</v>
      </c>
      <c r="I279" s="2" t="s">
        <v>772</v>
      </c>
      <c r="J279" s="3" t="str">
        <f>HYPERLINK("https://www.boe.es/gazeta/dias/1817/10/04/pdfs/GMD-1817-119.pdf#page=8","Abrir facsímil")</f>
        <v>Abrir facsímil</v>
      </c>
      <c r="K279" s="3" t="s">
        <v>23</v>
      </c>
    </row>
    <row r="280" spans="1:11" ht="42" customHeight="1">
      <c r="A280" s="2" t="s">
        <v>773</v>
      </c>
      <c r="B280" s="2" t="s">
        <v>774</v>
      </c>
      <c r="C280" s="2" t="s">
        <v>17</v>
      </c>
      <c r="D280" s="2" t="s">
        <v>18</v>
      </c>
      <c r="E280" s="5">
        <v>-30214</v>
      </c>
      <c r="F280" s="3" t="s">
        <v>631</v>
      </c>
      <c r="G280" s="3" t="s">
        <v>77</v>
      </c>
      <c r="H280" s="2" t="s">
        <v>21</v>
      </c>
      <c r="I280" s="2" t="s">
        <v>775</v>
      </c>
      <c r="J280" s="3" t="str">
        <f>HYPERLINK("https://www.boe.es/gazeta/dias/1817/04/10/pdfs/GMD-1817-43.pdf#page=8","Abrir facsímil")</f>
        <v>Abrir facsímil</v>
      </c>
      <c r="K280" s="3" t="s">
        <v>23</v>
      </c>
    </row>
    <row r="281" spans="1:11" ht="42" customHeight="1">
      <c r="A281" s="2" t="s">
        <v>776</v>
      </c>
      <c r="B281" s="2" t="s">
        <v>777</v>
      </c>
      <c r="C281" s="2" t="s">
        <v>17</v>
      </c>
      <c r="D281" s="2" t="s">
        <v>18</v>
      </c>
      <c r="E281" s="5">
        <v>-29995</v>
      </c>
      <c r="F281" s="3" t="s">
        <v>514</v>
      </c>
      <c r="G281" s="3" t="s">
        <v>515</v>
      </c>
      <c r="H281" s="2" t="s">
        <v>21</v>
      </c>
      <c r="I281" s="2" t="s">
        <v>778</v>
      </c>
      <c r="J281" s="3" t="str">
        <f>HYPERLINK("https://www.boe.es/gazeta/dias/1817/11/15/pdfs/GMD-1817-137.pdf#page=8","Abrir facsímil")</f>
        <v>Abrir facsímil</v>
      </c>
      <c r="K281" s="3" t="s">
        <v>23</v>
      </c>
    </row>
    <row r="282" spans="1:11" ht="42" customHeight="1">
      <c r="A282" s="2" t="s">
        <v>779</v>
      </c>
      <c r="B282" s="2" t="s">
        <v>780</v>
      </c>
      <c r="C282" s="2" t="s">
        <v>17</v>
      </c>
      <c r="D282" s="2" t="s">
        <v>18</v>
      </c>
      <c r="E282" s="5">
        <v>-30205</v>
      </c>
      <c r="F282" s="3" t="s">
        <v>139</v>
      </c>
      <c r="G282" s="3" t="s">
        <v>77</v>
      </c>
      <c r="H282" s="2" t="s">
        <v>21</v>
      </c>
      <c r="I282" s="2" t="s">
        <v>781</v>
      </c>
      <c r="J282" s="3" t="str">
        <f>HYPERLINK("https://www.boe.es/gazeta/dias/1817/04/19/pdfs/GMD-1817-47.pdf#page=8","Abrir facsímil")</f>
        <v>Abrir facsímil</v>
      </c>
      <c r="K282" s="3" t="s">
        <v>23</v>
      </c>
    </row>
    <row r="283" spans="1:11" ht="42" customHeight="1">
      <c r="A283" s="2" t="s">
        <v>782</v>
      </c>
      <c r="B283" s="2" t="s">
        <v>783</v>
      </c>
      <c r="C283" s="2" t="s">
        <v>17</v>
      </c>
      <c r="D283" s="2" t="s">
        <v>18</v>
      </c>
      <c r="E283" s="5">
        <v>-30142</v>
      </c>
      <c r="F283" s="3" t="s">
        <v>286</v>
      </c>
      <c r="G283" s="3" t="s">
        <v>497</v>
      </c>
      <c r="H283" s="2" t="s">
        <v>21</v>
      </c>
      <c r="I283" s="2" t="s">
        <v>784</v>
      </c>
      <c r="J283" s="3" t="str">
        <f>HYPERLINK("https://www.boe.es/gazeta/dias/1817/06/21/pdfs/GMD-1817-74.pdf#page=8","Abrir facsímil")</f>
        <v>Abrir facsímil</v>
      </c>
      <c r="K283" s="3" t="s">
        <v>23</v>
      </c>
    </row>
    <row r="284" spans="1:11" ht="42" customHeight="1">
      <c r="A284" s="2" t="s">
        <v>779</v>
      </c>
      <c r="B284" s="2" t="s">
        <v>780</v>
      </c>
      <c r="C284" s="2" t="s">
        <v>17</v>
      </c>
      <c r="D284" s="2" t="s">
        <v>18</v>
      </c>
      <c r="E284" s="5">
        <v>-30114</v>
      </c>
      <c r="F284" s="3" t="s">
        <v>500</v>
      </c>
      <c r="G284" s="3" t="s">
        <v>77</v>
      </c>
      <c r="H284" s="2" t="s">
        <v>21</v>
      </c>
      <c r="I284" s="2" t="s">
        <v>785</v>
      </c>
      <c r="J284" s="3" t="str">
        <f>HYPERLINK("https://www.boe.es/gazeta/dias/1817/07/19/pdfs/GMD-1817-86.pdf#page=8","Abrir facsímil")</f>
        <v>Abrir facsímil</v>
      </c>
      <c r="K284" s="3" t="s">
        <v>23</v>
      </c>
    </row>
    <row r="285" spans="1:11" ht="42" customHeight="1">
      <c r="A285" s="2" t="s">
        <v>779</v>
      </c>
      <c r="B285" s="2" t="s">
        <v>780</v>
      </c>
      <c r="C285" s="2" t="s">
        <v>36</v>
      </c>
      <c r="D285" s="2" t="s">
        <v>37</v>
      </c>
      <c r="E285" s="5">
        <v>-30046</v>
      </c>
      <c r="F285" s="3" t="s">
        <v>214</v>
      </c>
      <c r="G285" s="3" t="s">
        <v>275</v>
      </c>
      <c r="H285" s="2" t="s">
        <v>21</v>
      </c>
      <c r="I285" s="2" t="s">
        <v>786</v>
      </c>
      <c r="J285" s="3" t="str">
        <f>HYPERLINK("https://www.boe.es/gazeta/dias/1817/09/25/pdfs/GMD-1817-115.pdf#page=12","Abrir facsímil")</f>
        <v>Abrir facsímil</v>
      </c>
      <c r="K285" s="3" t="s">
        <v>23</v>
      </c>
    </row>
    <row r="286" spans="1:11" ht="42" customHeight="1">
      <c r="A286" s="2" t="s">
        <v>779</v>
      </c>
      <c r="B286" s="2" t="s">
        <v>780</v>
      </c>
      <c r="C286" s="2" t="s">
        <v>17</v>
      </c>
      <c r="D286" s="2" t="s">
        <v>18</v>
      </c>
      <c r="E286" s="5">
        <v>-30023</v>
      </c>
      <c r="F286" s="3" t="s">
        <v>460</v>
      </c>
      <c r="G286" s="3" t="s">
        <v>461</v>
      </c>
      <c r="H286" s="2" t="s">
        <v>21</v>
      </c>
      <c r="I286" s="2" t="s">
        <v>787</v>
      </c>
      <c r="J286" s="3" t="str">
        <f>HYPERLINK("https://www.boe.es/gazeta/dias/1817/10/18/pdfs/GMD-1817-125.pdf#page=8","Abrir facsímil")</f>
        <v>Abrir facsímil</v>
      </c>
      <c r="K286" s="3" t="s">
        <v>23</v>
      </c>
    </row>
    <row r="287" spans="1:11" ht="42" customHeight="1">
      <c r="A287" s="2" t="s">
        <v>779</v>
      </c>
      <c r="B287" s="2" t="s">
        <v>780</v>
      </c>
      <c r="C287" s="2" t="s">
        <v>17</v>
      </c>
      <c r="D287" s="2" t="s">
        <v>18</v>
      </c>
      <c r="E287" s="5">
        <v>-29974</v>
      </c>
      <c r="F287" s="3" t="s">
        <v>32</v>
      </c>
      <c r="G287" s="3" t="s">
        <v>77</v>
      </c>
      <c r="H287" s="2" t="s">
        <v>21</v>
      </c>
      <c r="I287" s="2" t="s">
        <v>788</v>
      </c>
      <c r="J287" s="3" t="str">
        <f>HYPERLINK("https://www.boe.es/gazeta/dias/1817/12/06/pdfs/GMD-1817-146.pdf#page=8","Abrir facsímil")</f>
        <v>Abrir facsímil</v>
      </c>
      <c r="K287" s="3" t="s">
        <v>23</v>
      </c>
    </row>
    <row r="288" spans="1:11" ht="42" customHeight="1">
      <c r="A288" s="2" t="s">
        <v>789</v>
      </c>
      <c r="B288" s="2" t="s">
        <v>790</v>
      </c>
      <c r="C288" s="2" t="s">
        <v>36</v>
      </c>
      <c r="D288" s="2" t="s">
        <v>37</v>
      </c>
      <c r="E288" s="5">
        <v>-30158</v>
      </c>
      <c r="F288" s="3" t="s">
        <v>305</v>
      </c>
      <c r="G288" s="3" t="s">
        <v>39</v>
      </c>
      <c r="H288" s="2" t="s">
        <v>21</v>
      </c>
      <c r="I288" s="2" t="s">
        <v>791</v>
      </c>
      <c r="J288" s="3" t="str">
        <f>HYPERLINK("https://www.boe.es/gazeta/dias/1817/06/05/pdfs/GMD-1817-67.pdf#page=5","Abrir facsímil")</f>
        <v>Abrir facsímil</v>
      </c>
      <c r="K288" s="3" t="s">
        <v>23</v>
      </c>
    </row>
    <row r="289" spans="1:11" ht="42" customHeight="1">
      <c r="A289" s="2" t="s">
        <v>792</v>
      </c>
      <c r="B289" s="2" t="s">
        <v>792</v>
      </c>
      <c r="C289" s="2" t="s">
        <v>36</v>
      </c>
      <c r="D289" s="2" t="s">
        <v>37</v>
      </c>
      <c r="E289" s="5">
        <v>-29953</v>
      </c>
      <c r="F289" s="3" t="s">
        <v>793</v>
      </c>
      <c r="G289" s="3" t="s">
        <v>794</v>
      </c>
      <c r="H289" s="2" t="s">
        <v>21</v>
      </c>
      <c r="I289" s="2" t="s">
        <v>795</v>
      </c>
      <c r="J289" s="3" t="str">
        <f>HYPERLINK("https://www.boe.es/gazeta/dias/1817/12/27/pdfs/GMD-1817-155.pdf#page=8","Abrir facsímil")</f>
        <v>Abrir facsímil</v>
      </c>
      <c r="K289" s="3" t="s">
        <v>23</v>
      </c>
    </row>
    <row r="290" spans="1:11" ht="42" customHeight="1">
      <c r="A290" s="2" t="s">
        <v>796</v>
      </c>
      <c r="B290" s="2" t="s">
        <v>796</v>
      </c>
      <c r="C290" s="2" t="s">
        <v>36</v>
      </c>
      <c r="D290" s="2" t="s">
        <v>37</v>
      </c>
      <c r="E290" s="5">
        <v>-30307</v>
      </c>
      <c r="F290" s="3" t="s">
        <v>67</v>
      </c>
      <c r="G290" s="3" t="s">
        <v>68</v>
      </c>
      <c r="H290" s="2" t="s">
        <v>21</v>
      </c>
      <c r="I290" s="2" t="s">
        <v>797</v>
      </c>
      <c r="J290" s="3" t="str">
        <f>HYPERLINK("https://www.boe.es/gazeta/dias/1817/01/07/pdfs/GMD-1817-3.pdf#page=8","Abrir facsímil")</f>
        <v>Abrir facsímil</v>
      </c>
      <c r="K290" s="3" t="s">
        <v>23</v>
      </c>
    </row>
    <row r="291" spans="1:11" ht="42" customHeight="1">
      <c r="A291" s="2" t="s">
        <v>796</v>
      </c>
      <c r="B291" s="2" t="s">
        <v>796</v>
      </c>
      <c r="C291" s="2" t="s">
        <v>43</v>
      </c>
      <c r="D291" s="2" t="s">
        <v>44</v>
      </c>
      <c r="E291" s="5">
        <v>-30261</v>
      </c>
      <c r="F291" s="3" t="s">
        <v>226</v>
      </c>
      <c r="G291" s="3" t="s">
        <v>20</v>
      </c>
      <c r="H291" s="2" t="s">
        <v>21</v>
      </c>
      <c r="I291" s="2" t="s">
        <v>798</v>
      </c>
      <c r="J291" s="3" t="str">
        <f>HYPERLINK("https://www.boe.es/gazeta/dias/1817/02/22/pdfs/GMD-1817-23.pdf#page=7","Abrir facsímil")</f>
        <v>Abrir facsímil</v>
      </c>
      <c r="K291" s="3" t="s">
        <v>23</v>
      </c>
    </row>
    <row r="292" spans="1:11" ht="42" customHeight="1">
      <c r="A292" s="2" t="s">
        <v>796</v>
      </c>
      <c r="B292" s="2" t="s">
        <v>796</v>
      </c>
      <c r="C292" s="2" t="s">
        <v>138</v>
      </c>
      <c r="D292" s="2" t="s">
        <v>44</v>
      </c>
      <c r="E292" s="5">
        <v>-30184</v>
      </c>
      <c r="F292" s="3" t="s">
        <v>423</v>
      </c>
      <c r="G292" s="3" t="s">
        <v>39</v>
      </c>
      <c r="H292" s="2" t="s">
        <v>21</v>
      </c>
      <c r="I292" s="2" t="s">
        <v>799</v>
      </c>
      <c r="J292" s="3" t="str">
        <f>HYPERLINK("https://www.boe.es/gazeta/dias/1817/05/10/pdfs/GMD-1817-56.pdf#page=5","Abrir facsímil")</f>
        <v>Abrir facsímil</v>
      </c>
      <c r="K292" s="3" t="s">
        <v>23</v>
      </c>
    </row>
    <row r="293" spans="1:11" ht="42" customHeight="1">
      <c r="A293" s="2" t="s">
        <v>796</v>
      </c>
      <c r="B293" s="2" t="s">
        <v>796</v>
      </c>
      <c r="C293" s="2" t="s">
        <v>36</v>
      </c>
      <c r="D293" s="2" t="s">
        <v>37</v>
      </c>
      <c r="E293" s="5">
        <v>-30065</v>
      </c>
      <c r="F293" s="3" t="s">
        <v>201</v>
      </c>
      <c r="G293" s="3" t="s">
        <v>144</v>
      </c>
      <c r="H293" s="2" t="s">
        <v>21</v>
      </c>
      <c r="I293" s="2" t="s">
        <v>800</v>
      </c>
      <c r="J293" s="3" t="str">
        <f>HYPERLINK("https://www.boe.es/gazeta/dias/1817/09/06/pdfs/GMD-1817-107.pdf#page=4","Abrir facsímil")</f>
        <v>Abrir facsímil</v>
      </c>
      <c r="K293" s="3" t="s">
        <v>23</v>
      </c>
    </row>
    <row r="294" spans="1:11" ht="42" customHeight="1">
      <c r="A294" s="2" t="s">
        <v>796</v>
      </c>
      <c r="B294" s="2" t="s">
        <v>796</v>
      </c>
      <c r="C294" s="2" t="s">
        <v>43</v>
      </c>
      <c r="D294" s="2" t="s">
        <v>44</v>
      </c>
      <c r="E294" s="5">
        <v>-30051</v>
      </c>
      <c r="F294" s="3" t="s">
        <v>26</v>
      </c>
      <c r="G294" s="3" t="s">
        <v>77</v>
      </c>
      <c r="H294" s="2" t="s">
        <v>21</v>
      </c>
      <c r="I294" s="2" t="s">
        <v>801</v>
      </c>
      <c r="J294" s="3" t="str">
        <f>HYPERLINK("https://www.boe.es/gazeta/dias/1817/09/20/pdfs/GMD-1817-113.pdf#page=8","Abrir facsímil")</f>
        <v>Abrir facsímil</v>
      </c>
      <c r="K294" s="3" t="s">
        <v>23</v>
      </c>
    </row>
    <row r="295" spans="1:11" ht="42" customHeight="1">
      <c r="A295" s="2" t="s">
        <v>796</v>
      </c>
      <c r="B295" s="2" t="s">
        <v>796</v>
      </c>
      <c r="C295" s="2" t="s">
        <v>138</v>
      </c>
      <c r="D295" s="2" t="s">
        <v>44</v>
      </c>
      <c r="E295" s="5">
        <v>-30006</v>
      </c>
      <c r="F295" s="3" t="s">
        <v>210</v>
      </c>
      <c r="G295" s="3" t="s">
        <v>77</v>
      </c>
      <c r="H295" s="2" t="s">
        <v>21</v>
      </c>
      <c r="I295" s="2" t="s">
        <v>802</v>
      </c>
      <c r="J295" s="3" t="str">
        <f>HYPERLINK("https://www.boe.es/gazeta/dias/1817/11/04/pdfs/GMD-1817-132.pdf#page=8","Abrir facsímil")</f>
        <v>Abrir facsímil</v>
      </c>
      <c r="K295" s="3" t="s">
        <v>23</v>
      </c>
    </row>
    <row r="296" spans="1:11" ht="42" customHeight="1">
      <c r="A296" s="2" t="s">
        <v>796</v>
      </c>
      <c r="B296" s="2" t="s">
        <v>796</v>
      </c>
      <c r="C296" s="2" t="s">
        <v>36</v>
      </c>
      <c r="D296" s="2" t="s">
        <v>37</v>
      </c>
      <c r="E296" s="5">
        <v>-29981</v>
      </c>
      <c r="F296" s="3" t="s">
        <v>111</v>
      </c>
      <c r="G296" s="3" t="s">
        <v>82</v>
      </c>
      <c r="H296" s="2" t="s">
        <v>21</v>
      </c>
      <c r="I296" s="2" t="s">
        <v>803</v>
      </c>
      <c r="J296" s="3" t="str">
        <f>HYPERLINK("https://www.boe.es/gazeta/dias/1817/11/29/pdfs/GMD-1817-143.pdf#page=12","Abrir facsímil")</f>
        <v>Abrir facsímil</v>
      </c>
      <c r="K296" s="3" t="s">
        <v>23</v>
      </c>
    </row>
    <row r="297" spans="1:11" ht="42" customHeight="1">
      <c r="A297" s="2" t="s">
        <v>796</v>
      </c>
      <c r="B297" s="2" t="s">
        <v>796</v>
      </c>
      <c r="C297" s="2" t="s">
        <v>17</v>
      </c>
      <c r="D297" s="2" t="s">
        <v>18</v>
      </c>
      <c r="E297" s="5">
        <v>-29976</v>
      </c>
      <c r="F297" s="3" t="s">
        <v>81</v>
      </c>
      <c r="G297" s="3" t="s">
        <v>82</v>
      </c>
      <c r="H297" s="2" t="s">
        <v>21</v>
      </c>
      <c r="I297" s="2" t="s">
        <v>804</v>
      </c>
      <c r="J297" s="3" t="str">
        <f>HYPERLINK("https://www.boe.es/gazeta/dias/1817/12/04/pdfs/GMD-1817-145.pdf#page=12","Abrir facsímil")</f>
        <v>Abrir facsímil</v>
      </c>
      <c r="K297" s="3" t="s">
        <v>23</v>
      </c>
    </row>
    <row r="298" spans="1:11" ht="42" customHeight="1">
      <c r="A298" s="2" t="s">
        <v>796</v>
      </c>
      <c r="B298" s="2" t="s">
        <v>796</v>
      </c>
      <c r="C298" s="2" t="s">
        <v>36</v>
      </c>
      <c r="D298" s="2" t="s">
        <v>37</v>
      </c>
      <c r="E298" s="5">
        <v>-29955</v>
      </c>
      <c r="F298" s="3" t="s">
        <v>805</v>
      </c>
      <c r="G298" s="3" t="s">
        <v>806</v>
      </c>
      <c r="H298" s="2" t="s">
        <v>21</v>
      </c>
      <c r="I298" s="2" t="s">
        <v>807</v>
      </c>
      <c r="J298" s="3" t="str">
        <f>HYPERLINK("https://www.boe.es/gazeta/dias/1817/12/25/pdfs/GMD-1817-154.pdf#page=5","Abrir facsímil")</f>
        <v>Abrir facsímil</v>
      </c>
      <c r="K298" s="3" t="s">
        <v>23</v>
      </c>
    </row>
    <row r="299" spans="1:11" ht="42" customHeight="1">
      <c r="A299" s="2" t="s">
        <v>808</v>
      </c>
      <c r="B299" s="2" t="s">
        <v>809</v>
      </c>
      <c r="C299" s="2" t="s">
        <v>43</v>
      </c>
      <c r="D299" s="2" t="s">
        <v>44</v>
      </c>
      <c r="E299" s="5">
        <v>-30065</v>
      </c>
      <c r="F299" s="3" t="s">
        <v>201</v>
      </c>
      <c r="G299" s="3" t="s">
        <v>144</v>
      </c>
      <c r="H299" s="2" t="s">
        <v>27</v>
      </c>
      <c r="I299" s="2" t="s">
        <v>810</v>
      </c>
      <c r="J299" s="3" t="str">
        <f>HYPERLINK("https://www.boe.es/gazeta/dias/1817/09/06/pdfs/GMD-1817-107.pdf#page=4","Abrir facsímil")</f>
        <v>Abrir facsímil</v>
      </c>
      <c r="K299" s="3" t="s">
        <v>29</v>
      </c>
    </row>
    <row r="300" spans="1:11" ht="42" customHeight="1">
      <c r="A300" s="2" t="s">
        <v>811</v>
      </c>
      <c r="B300" s="2" t="s">
        <v>812</v>
      </c>
      <c r="C300" s="2" t="s">
        <v>55</v>
      </c>
      <c r="D300" s="2" t="s">
        <v>44</v>
      </c>
      <c r="E300" s="5">
        <v>-30060</v>
      </c>
      <c r="F300" s="3" t="s">
        <v>446</v>
      </c>
      <c r="G300" s="3" t="s">
        <v>77</v>
      </c>
      <c r="H300" s="2" t="s">
        <v>21</v>
      </c>
      <c r="I300" s="2" t="s">
        <v>813</v>
      </c>
      <c r="J300" s="3" t="str">
        <f>HYPERLINK("https://www.boe.es/gazeta/dias/1817/09/11/pdfs/GMD-1817-109.pdf#page=8","Abrir facsímil")</f>
        <v>Abrir facsímil</v>
      </c>
      <c r="K300" s="3" t="s">
        <v>23</v>
      </c>
    </row>
    <row r="301" spans="1:11" ht="42" customHeight="1">
      <c r="A301" s="2" t="s">
        <v>814</v>
      </c>
      <c r="B301" s="2" t="s">
        <v>815</v>
      </c>
      <c r="C301" s="2" t="s">
        <v>43</v>
      </c>
      <c r="D301" s="2" t="s">
        <v>44</v>
      </c>
      <c r="E301" s="5">
        <v>-30223</v>
      </c>
      <c r="F301" s="3" t="s">
        <v>627</v>
      </c>
      <c r="G301" s="3" t="s">
        <v>77</v>
      </c>
      <c r="H301" s="2" t="s">
        <v>21</v>
      </c>
      <c r="I301" s="2" t="s">
        <v>816</v>
      </c>
      <c r="J301" s="3" t="str">
        <f>HYPERLINK("https://www.boe.es/gazeta/dias/1817/04/01/pdfs/GMD-1817-39.pdf#page=8","Abrir facsímil")</f>
        <v>Abrir facsímil</v>
      </c>
      <c r="K301" s="3" t="s">
        <v>23</v>
      </c>
    </row>
    <row r="302" spans="1:11" ht="42" customHeight="1">
      <c r="A302" s="2" t="s">
        <v>814</v>
      </c>
      <c r="B302" s="2" t="s">
        <v>815</v>
      </c>
      <c r="C302" s="2" t="s">
        <v>36</v>
      </c>
      <c r="D302" s="2" t="s">
        <v>37</v>
      </c>
      <c r="E302" s="5">
        <v>-30069</v>
      </c>
      <c r="F302" s="3" t="s">
        <v>817</v>
      </c>
      <c r="G302" s="3" t="s">
        <v>818</v>
      </c>
      <c r="H302" s="2" t="s">
        <v>21</v>
      </c>
      <c r="I302" s="2" t="s">
        <v>819</v>
      </c>
      <c r="J302" s="3" t="str">
        <f>HYPERLINK("https://www.boe.es/gazeta/dias/1817/09/02/pdfs/GMD-1817-105.pdf#page=8","Abrir facsímil")</f>
        <v>Abrir facsímil</v>
      </c>
      <c r="K302" s="3" t="s">
        <v>23</v>
      </c>
    </row>
    <row r="303" spans="1:11" ht="42" customHeight="1">
      <c r="A303" s="2" t="s">
        <v>820</v>
      </c>
      <c r="B303" s="2" t="s">
        <v>821</v>
      </c>
      <c r="C303" s="2" t="s">
        <v>138</v>
      </c>
      <c r="D303" s="2" t="s">
        <v>44</v>
      </c>
      <c r="E303" s="5">
        <v>-30013</v>
      </c>
      <c r="F303" s="3" t="s">
        <v>464</v>
      </c>
      <c r="G303" s="3" t="s">
        <v>57</v>
      </c>
      <c r="H303" s="2" t="s">
        <v>21</v>
      </c>
      <c r="I303" s="2" t="s">
        <v>822</v>
      </c>
      <c r="J303" s="3" t="str">
        <f>HYPERLINK("https://www.boe.es/gazeta/dias/1817/10/28/pdfs/GMD-1817-129.pdf#page=6","Abrir facsímil")</f>
        <v>Abrir facsímil</v>
      </c>
      <c r="K303" s="3" t="s">
        <v>23</v>
      </c>
    </row>
    <row r="304" spans="1:11" ht="42" customHeight="1">
      <c r="A304" s="2" t="s">
        <v>823</v>
      </c>
      <c r="B304" s="2" t="s">
        <v>824</v>
      </c>
      <c r="C304" s="2" t="s">
        <v>43</v>
      </c>
      <c r="D304" s="2" t="s">
        <v>44</v>
      </c>
      <c r="E304" s="5">
        <v>-30310</v>
      </c>
      <c r="F304" s="3" t="s">
        <v>93</v>
      </c>
      <c r="G304" s="3" t="s">
        <v>57</v>
      </c>
      <c r="H304" s="2" t="s">
        <v>21</v>
      </c>
      <c r="I304" s="2" t="s">
        <v>825</v>
      </c>
      <c r="J304" s="3" t="str">
        <f>HYPERLINK("https://www.boe.es/gazeta/dias/1817/01/04/pdfs/GMD-1817-2.pdf#page=6","Abrir facsímil")</f>
        <v>Abrir facsímil</v>
      </c>
      <c r="K304" s="3" t="s">
        <v>23</v>
      </c>
    </row>
    <row r="305" spans="1:11" ht="42" customHeight="1">
      <c r="A305" s="2" t="s">
        <v>826</v>
      </c>
      <c r="B305" s="2" t="s">
        <v>827</v>
      </c>
      <c r="C305" s="2" t="s">
        <v>43</v>
      </c>
      <c r="D305" s="2" t="s">
        <v>44</v>
      </c>
      <c r="E305" s="5">
        <v>-30079</v>
      </c>
      <c r="F305" s="3" t="s">
        <v>45</v>
      </c>
      <c r="G305" s="3" t="s">
        <v>828</v>
      </c>
      <c r="H305" s="2" t="s">
        <v>21</v>
      </c>
      <c r="I305" s="2" t="s">
        <v>829</v>
      </c>
      <c r="J305" s="3" t="str">
        <f>HYPERLINK("https://www.boe.es/gazeta/dias/1817/08/23/pdfs/GMD-1817-101.pdf#page=4","Abrir facsímil")</f>
        <v>Abrir facsímil</v>
      </c>
      <c r="K305" s="3" t="s">
        <v>23</v>
      </c>
    </row>
    <row r="306" spans="1:11" ht="42" customHeight="1">
      <c r="A306" s="2" t="s">
        <v>830</v>
      </c>
      <c r="B306" s="2" t="s">
        <v>831</v>
      </c>
      <c r="C306" s="2" t="s">
        <v>43</v>
      </c>
      <c r="D306" s="2" t="s">
        <v>44</v>
      </c>
      <c r="E306" s="5">
        <v>-29978</v>
      </c>
      <c r="F306" s="3" t="s">
        <v>478</v>
      </c>
      <c r="G306" s="3" t="s">
        <v>832</v>
      </c>
      <c r="H306" s="2" t="s">
        <v>21</v>
      </c>
      <c r="I306" s="2" t="s">
        <v>833</v>
      </c>
      <c r="J306" s="3" t="str">
        <f>HYPERLINK("https://www.boe.es/gazeta/dias/1817/12/02/pdfs/GMD-1817-144.pdf#page=6","Abrir facsímil")</f>
        <v>Abrir facsímil</v>
      </c>
      <c r="K306" s="3" t="s">
        <v>23</v>
      </c>
    </row>
    <row r="307" spans="1:11" ht="42" customHeight="1">
      <c r="A307" s="2" t="s">
        <v>834</v>
      </c>
      <c r="B307" s="2" t="s">
        <v>835</v>
      </c>
      <c r="C307" s="2" t="s">
        <v>138</v>
      </c>
      <c r="D307" s="2" t="s">
        <v>44</v>
      </c>
      <c r="E307" s="5">
        <v>-30188</v>
      </c>
      <c r="F307" s="3" t="s">
        <v>177</v>
      </c>
      <c r="G307" s="3" t="s">
        <v>39</v>
      </c>
      <c r="H307" s="2" t="s">
        <v>21</v>
      </c>
      <c r="I307" s="2" t="s">
        <v>836</v>
      </c>
      <c r="J307" s="3" t="str">
        <f>HYPERLINK("https://www.boe.es/gazeta/dias/1817/05/06/pdfs/GMD-1817-54.pdf#page=5","Abrir facsímil")</f>
        <v>Abrir facsímil</v>
      </c>
      <c r="K307" s="3" t="s">
        <v>23</v>
      </c>
    </row>
    <row r="308" spans="1:11" ht="42" customHeight="1">
      <c r="A308" s="2" t="s">
        <v>834</v>
      </c>
      <c r="B308" s="2" t="s">
        <v>835</v>
      </c>
      <c r="C308" s="2" t="s">
        <v>36</v>
      </c>
      <c r="D308" s="2" t="s">
        <v>37</v>
      </c>
      <c r="E308" s="5">
        <v>-30188</v>
      </c>
      <c r="F308" s="3" t="s">
        <v>177</v>
      </c>
      <c r="G308" s="3" t="s">
        <v>57</v>
      </c>
      <c r="H308" s="2" t="s">
        <v>21</v>
      </c>
      <c r="I308" s="2" t="s">
        <v>837</v>
      </c>
      <c r="J308" s="3" t="str">
        <f>HYPERLINK("https://www.boe.es/gazeta/dias/1817/05/06/pdfs/GMD-1817-54.pdf#page=6","Abrir facsímil")</f>
        <v>Abrir facsímil</v>
      </c>
      <c r="K308" s="3" t="s">
        <v>23</v>
      </c>
    </row>
    <row r="309" spans="1:11" ht="42" customHeight="1">
      <c r="A309" s="2" t="s">
        <v>834</v>
      </c>
      <c r="B309" s="2" t="s">
        <v>835</v>
      </c>
      <c r="C309" s="2" t="s">
        <v>43</v>
      </c>
      <c r="D309" s="2" t="s">
        <v>44</v>
      </c>
      <c r="E309" s="5">
        <v>-30163</v>
      </c>
      <c r="F309" s="3" t="s">
        <v>166</v>
      </c>
      <c r="G309" s="3" t="s">
        <v>39</v>
      </c>
      <c r="H309" s="2" t="s">
        <v>21</v>
      </c>
      <c r="I309" s="2" t="s">
        <v>838</v>
      </c>
      <c r="J309" s="3" t="str">
        <f>HYPERLINK("https://www.boe.es/gazeta/dias/1817/05/31/pdfs/GMD-1817-65.pdf#page=5","Abrir facsímil")</f>
        <v>Abrir facsímil</v>
      </c>
      <c r="K309" s="3" t="s">
        <v>23</v>
      </c>
    </row>
    <row r="310" spans="1:11" ht="42" customHeight="1">
      <c r="A310" s="2" t="s">
        <v>834</v>
      </c>
      <c r="B310" s="2" t="s">
        <v>835</v>
      </c>
      <c r="C310" s="2" t="s">
        <v>36</v>
      </c>
      <c r="D310" s="2" t="s">
        <v>37</v>
      </c>
      <c r="E310" s="5">
        <v>-30160</v>
      </c>
      <c r="F310" s="3" t="s">
        <v>116</v>
      </c>
      <c r="G310" s="3" t="s">
        <v>144</v>
      </c>
      <c r="H310" s="2" t="s">
        <v>21</v>
      </c>
      <c r="I310" s="2" t="s">
        <v>839</v>
      </c>
      <c r="J310" s="3" t="str">
        <f>HYPERLINK("https://www.boe.es/gazeta/dias/1817/06/03/pdfs/GMD-1817-66.pdf#page=4","Abrir facsímil")</f>
        <v>Abrir facsímil</v>
      </c>
      <c r="K310" s="3" t="s">
        <v>23</v>
      </c>
    </row>
    <row r="311" spans="1:11" ht="42" customHeight="1">
      <c r="A311" s="2" t="s">
        <v>834</v>
      </c>
      <c r="B311" s="2" t="s">
        <v>835</v>
      </c>
      <c r="C311" s="2" t="s">
        <v>43</v>
      </c>
      <c r="D311" s="2" t="s">
        <v>44</v>
      </c>
      <c r="E311" s="5">
        <v>-30158</v>
      </c>
      <c r="F311" s="3" t="s">
        <v>305</v>
      </c>
      <c r="G311" s="3" t="s">
        <v>144</v>
      </c>
      <c r="H311" s="2" t="s">
        <v>21</v>
      </c>
      <c r="I311" s="2" t="s">
        <v>840</v>
      </c>
      <c r="J311" s="3" t="str">
        <f>HYPERLINK("https://www.boe.es/gazeta/dias/1817/06/05/pdfs/GMD-1817-67.pdf#page=4","Abrir facsímil")</f>
        <v>Abrir facsímil</v>
      </c>
      <c r="K311" s="3" t="s">
        <v>23</v>
      </c>
    </row>
    <row r="312" spans="1:11" ht="42" customHeight="1">
      <c r="A312" s="2" t="s">
        <v>834</v>
      </c>
      <c r="B312" s="2" t="s">
        <v>835</v>
      </c>
      <c r="C312" s="2" t="s">
        <v>36</v>
      </c>
      <c r="D312" s="2" t="s">
        <v>37</v>
      </c>
      <c r="E312" s="5">
        <v>-30156</v>
      </c>
      <c r="F312" s="3" t="s">
        <v>635</v>
      </c>
      <c r="G312" s="3" t="s">
        <v>39</v>
      </c>
      <c r="H312" s="2" t="s">
        <v>21</v>
      </c>
      <c r="I312" s="2" t="s">
        <v>841</v>
      </c>
      <c r="J312" s="3" t="str">
        <f>HYPERLINK("https://www.boe.es/gazeta/dias/1817/06/07/pdfs/GMD-1817-68.pdf#page=5","Abrir facsímil")</f>
        <v>Abrir facsímil</v>
      </c>
      <c r="K312" s="3" t="s">
        <v>23</v>
      </c>
    </row>
    <row r="313" spans="1:11" ht="42" customHeight="1">
      <c r="A313" s="2" t="s">
        <v>834</v>
      </c>
      <c r="B313" s="2" t="s">
        <v>835</v>
      </c>
      <c r="C313" s="2" t="s">
        <v>36</v>
      </c>
      <c r="D313" s="2" t="s">
        <v>37</v>
      </c>
      <c r="E313" s="5">
        <v>-30156</v>
      </c>
      <c r="F313" s="3" t="s">
        <v>635</v>
      </c>
      <c r="G313" s="3" t="s">
        <v>57</v>
      </c>
      <c r="H313" s="2" t="s">
        <v>21</v>
      </c>
      <c r="I313" s="2" t="s">
        <v>842</v>
      </c>
      <c r="J313" s="3" t="str">
        <f>HYPERLINK("https://www.boe.es/gazeta/dias/1817/06/07/pdfs/GMD-1817-68.pdf#page=6","Abrir facsímil")</f>
        <v>Abrir facsímil</v>
      </c>
      <c r="K313" s="3" t="s">
        <v>23</v>
      </c>
    </row>
    <row r="314" spans="1:11" ht="42" customHeight="1">
      <c r="A314" s="2" t="s">
        <v>834</v>
      </c>
      <c r="B314" s="2" t="s">
        <v>835</v>
      </c>
      <c r="C314" s="2" t="s">
        <v>43</v>
      </c>
      <c r="D314" s="2" t="s">
        <v>44</v>
      </c>
      <c r="E314" s="5">
        <v>-30153</v>
      </c>
      <c r="F314" s="3" t="s">
        <v>843</v>
      </c>
      <c r="G314" s="3" t="s">
        <v>39</v>
      </c>
      <c r="H314" s="2" t="s">
        <v>21</v>
      </c>
      <c r="I314" s="2" t="s">
        <v>844</v>
      </c>
      <c r="J314" s="3" t="str">
        <f>HYPERLINK("https://www.boe.es/gazeta/dias/1817/06/10/pdfs/GMD-1817-69.pdf#page=5","Abrir facsímil")</f>
        <v>Abrir facsímil</v>
      </c>
      <c r="K314" s="3" t="s">
        <v>23</v>
      </c>
    </row>
    <row r="315" spans="1:11" ht="42" customHeight="1">
      <c r="A315" s="2" t="s">
        <v>834</v>
      </c>
      <c r="B315" s="2" t="s">
        <v>835</v>
      </c>
      <c r="C315" s="2" t="s">
        <v>43</v>
      </c>
      <c r="D315" s="2" t="s">
        <v>44</v>
      </c>
      <c r="E315" s="5">
        <v>-30149</v>
      </c>
      <c r="F315" s="3" t="s">
        <v>430</v>
      </c>
      <c r="G315" s="3" t="s">
        <v>20</v>
      </c>
      <c r="H315" s="2" t="s">
        <v>21</v>
      </c>
      <c r="I315" s="2" t="s">
        <v>845</v>
      </c>
      <c r="J315" s="3" t="str">
        <f>HYPERLINK("https://www.boe.es/gazeta/dias/1817/06/14/pdfs/GMD-1817-71.pdf#page=7","Abrir facsímil")</f>
        <v>Abrir facsímil</v>
      </c>
      <c r="K315" s="3" t="s">
        <v>23</v>
      </c>
    </row>
    <row r="316" spans="1:11" ht="42" customHeight="1">
      <c r="A316" s="2" t="s">
        <v>834</v>
      </c>
      <c r="B316" s="2" t="s">
        <v>835</v>
      </c>
      <c r="C316" s="2" t="s">
        <v>43</v>
      </c>
      <c r="D316" s="2" t="s">
        <v>44</v>
      </c>
      <c r="E316" s="5">
        <v>-30144</v>
      </c>
      <c r="F316" s="3" t="s">
        <v>846</v>
      </c>
      <c r="G316" s="3" t="s">
        <v>57</v>
      </c>
      <c r="H316" s="2" t="s">
        <v>21</v>
      </c>
      <c r="I316" s="2" t="s">
        <v>847</v>
      </c>
      <c r="J316" s="3" t="str">
        <f>HYPERLINK("https://www.boe.es/gazeta/dias/1817/06/19/pdfs/GMD-1817-73.pdf#page=6","Abrir facsímil")</f>
        <v>Abrir facsímil</v>
      </c>
      <c r="K316" s="3" t="s">
        <v>23</v>
      </c>
    </row>
    <row r="317" spans="1:11" ht="42" customHeight="1">
      <c r="A317" s="2" t="s">
        <v>834</v>
      </c>
      <c r="B317" s="2" t="s">
        <v>835</v>
      </c>
      <c r="C317" s="2" t="s">
        <v>43</v>
      </c>
      <c r="D317" s="2" t="s">
        <v>44</v>
      </c>
      <c r="E317" s="5">
        <v>-30123</v>
      </c>
      <c r="F317" s="3" t="s">
        <v>848</v>
      </c>
      <c r="G317" s="3" t="s">
        <v>849</v>
      </c>
      <c r="H317" s="2" t="s">
        <v>21</v>
      </c>
      <c r="I317" s="2" t="s">
        <v>850</v>
      </c>
      <c r="J317" s="3" t="str">
        <f>HYPERLINK("https://www.boe.es/gazeta/dias/1817/07/10/pdfs/GMD-1817-82.pdf#page=4","Abrir facsímil")</f>
        <v>Abrir facsímil</v>
      </c>
      <c r="K317" s="3" t="s">
        <v>23</v>
      </c>
    </row>
    <row r="318" spans="1:11" ht="42" customHeight="1">
      <c r="A318" s="2" t="s">
        <v>834</v>
      </c>
      <c r="B318" s="2" t="s">
        <v>835</v>
      </c>
      <c r="C318" s="2" t="s">
        <v>55</v>
      </c>
      <c r="D318" s="2" t="s">
        <v>44</v>
      </c>
      <c r="E318" s="5">
        <v>-30121</v>
      </c>
      <c r="F318" s="3" t="s">
        <v>851</v>
      </c>
      <c r="G318" s="3" t="s">
        <v>144</v>
      </c>
      <c r="H318" s="2" t="s">
        <v>21</v>
      </c>
      <c r="I318" s="2" t="s">
        <v>852</v>
      </c>
      <c r="J318" s="3" t="str">
        <f>HYPERLINK("https://www.boe.es/gazeta/dias/1817/07/12/pdfs/GMD-1817-83.pdf#page=4","Abrir facsímil")</f>
        <v>Abrir facsímil</v>
      </c>
      <c r="K318" s="3" t="s">
        <v>23</v>
      </c>
    </row>
    <row r="319" spans="1:11" ht="42" customHeight="1">
      <c r="A319" s="2" t="s">
        <v>834</v>
      </c>
      <c r="B319" s="2" t="s">
        <v>835</v>
      </c>
      <c r="C319" s="2" t="s">
        <v>36</v>
      </c>
      <c r="D319" s="2" t="s">
        <v>37</v>
      </c>
      <c r="E319" s="5">
        <v>-30118</v>
      </c>
      <c r="F319" s="3" t="s">
        <v>432</v>
      </c>
      <c r="G319" s="3" t="s">
        <v>648</v>
      </c>
      <c r="H319" s="2" t="s">
        <v>21</v>
      </c>
      <c r="I319" s="2" t="s">
        <v>853</v>
      </c>
      <c r="J319" s="3" t="str">
        <f>HYPERLINK("https://www.boe.es/gazeta/dias/1817/07/15/pdfs/GMD-1817-84.pdf#page=4","Abrir facsímil")</f>
        <v>Abrir facsímil</v>
      </c>
      <c r="K319" s="3" t="s">
        <v>23</v>
      </c>
    </row>
    <row r="320" spans="1:11" ht="42" customHeight="1">
      <c r="A320" s="2" t="s">
        <v>834</v>
      </c>
      <c r="B320" s="2" t="s">
        <v>835</v>
      </c>
      <c r="C320" s="2" t="s">
        <v>43</v>
      </c>
      <c r="D320" s="2" t="s">
        <v>44</v>
      </c>
      <c r="E320" s="5">
        <v>-30116</v>
      </c>
      <c r="F320" s="3" t="s">
        <v>319</v>
      </c>
      <c r="G320" s="3" t="s">
        <v>39</v>
      </c>
      <c r="H320" s="2" t="s">
        <v>21</v>
      </c>
      <c r="I320" s="2" t="s">
        <v>854</v>
      </c>
      <c r="J320" s="3" t="str">
        <f>HYPERLINK("https://www.boe.es/gazeta/dias/1817/07/17/pdfs/GMD-1817-85.pdf#page=5","Abrir facsímil")</f>
        <v>Abrir facsímil</v>
      </c>
      <c r="K320" s="3" t="s">
        <v>23</v>
      </c>
    </row>
    <row r="321" spans="1:11" ht="42" customHeight="1">
      <c r="A321" s="2" t="s">
        <v>834</v>
      </c>
      <c r="B321" s="2" t="s">
        <v>835</v>
      </c>
      <c r="C321" s="2" t="s">
        <v>17</v>
      </c>
      <c r="D321" s="2" t="s">
        <v>18</v>
      </c>
      <c r="E321" s="5">
        <v>-30116</v>
      </c>
      <c r="F321" s="3" t="s">
        <v>319</v>
      </c>
      <c r="G321" s="3" t="s">
        <v>57</v>
      </c>
      <c r="H321" s="2" t="s">
        <v>21</v>
      </c>
      <c r="I321" s="2" t="s">
        <v>855</v>
      </c>
      <c r="J321" s="3" t="str">
        <f>HYPERLINK("https://www.boe.es/gazeta/dias/1817/07/17/pdfs/GMD-1817-85.pdf#page=6","Abrir facsímil")</f>
        <v>Abrir facsímil</v>
      </c>
      <c r="K321" s="3" t="s">
        <v>23</v>
      </c>
    </row>
    <row r="322" spans="1:11" ht="42" customHeight="1">
      <c r="A322" s="2" t="s">
        <v>834</v>
      </c>
      <c r="B322" s="2" t="s">
        <v>835</v>
      </c>
      <c r="C322" s="2" t="s">
        <v>36</v>
      </c>
      <c r="D322" s="2" t="s">
        <v>37</v>
      </c>
      <c r="E322" s="5">
        <v>-30104</v>
      </c>
      <c r="F322" s="3" t="s">
        <v>856</v>
      </c>
      <c r="G322" s="3" t="s">
        <v>39</v>
      </c>
      <c r="H322" s="2" t="s">
        <v>21</v>
      </c>
      <c r="I322" s="2" t="s">
        <v>857</v>
      </c>
      <c r="J322" s="3" t="str">
        <f>HYPERLINK("https://www.boe.es/gazeta/dias/1817/07/29/pdfs/GMD-1817-90.pdf#page=5","Abrir facsímil")</f>
        <v>Abrir facsímil</v>
      </c>
      <c r="K322" s="3" t="s">
        <v>23</v>
      </c>
    </row>
    <row r="323" spans="1:11" ht="42" customHeight="1">
      <c r="A323" s="2" t="s">
        <v>834</v>
      </c>
      <c r="B323" s="2" t="s">
        <v>835</v>
      </c>
      <c r="C323" s="2" t="s">
        <v>43</v>
      </c>
      <c r="D323" s="2" t="s">
        <v>44</v>
      </c>
      <c r="E323" s="5">
        <v>-30097</v>
      </c>
      <c r="F323" s="3" t="s">
        <v>156</v>
      </c>
      <c r="G323" s="3" t="s">
        <v>157</v>
      </c>
      <c r="H323" s="2" t="s">
        <v>21</v>
      </c>
      <c r="I323" s="2" t="s">
        <v>858</v>
      </c>
      <c r="J323" s="3" t="str">
        <f>HYPERLINK("https://www.boe.es/gazeta/dias/1817/08/05/pdfs/GMD-1817-93.pdf#page=5","Abrir facsímil")</f>
        <v>Abrir facsímil</v>
      </c>
      <c r="K323" s="3" t="s">
        <v>23</v>
      </c>
    </row>
    <row r="324" spans="1:11" ht="42" customHeight="1">
      <c r="A324" s="2" t="s">
        <v>834</v>
      </c>
      <c r="B324" s="2" t="s">
        <v>835</v>
      </c>
      <c r="C324" s="2" t="s">
        <v>36</v>
      </c>
      <c r="D324" s="2" t="s">
        <v>37</v>
      </c>
      <c r="E324" s="5">
        <v>-30081</v>
      </c>
      <c r="F324" s="3" t="s">
        <v>133</v>
      </c>
      <c r="G324" s="3" t="s">
        <v>77</v>
      </c>
      <c r="H324" s="2" t="s">
        <v>21</v>
      </c>
      <c r="I324" s="2" t="s">
        <v>859</v>
      </c>
      <c r="J324" s="3" t="str">
        <f>HYPERLINK("https://www.boe.es/gazeta/dias/1817/08/21/pdfs/GMD-1817-100.pdf#page=8","Abrir facsímil")</f>
        <v>Abrir facsímil</v>
      </c>
      <c r="K324" s="3" t="s">
        <v>23</v>
      </c>
    </row>
    <row r="325" spans="1:11" ht="42" customHeight="1">
      <c r="A325" s="2" t="s">
        <v>834</v>
      </c>
      <c r="B325" s="2" t="s">
        <v>835</v>
      </c>
      <c r="C325" s="2" t="s">
        <v>36</v>
      </c>
      <c r="D325" s="2" t="s">
        <v>37</v>
      </c>
      <c r="E325" s="5">
        <v>-30076</v>
      </c>
      <c r="F325" s="3" t="s">
        <v>439</v>
      </c>
      <c r="G325" s="3" t="s">
        <v>144</v>
      </c>
      <c r="H325" s="2" t="s">
        <v>21</v>
      </c>
      <c r="I325" s="2" t="s">
        <v>860</v>
      </c>
      <c r="J325" s="3" t="str">
        <f>HYPERLINK("https://www.boe.es/gazeta/dias/1817/08/26/pdfs/GMD-1817-102.pdf#page=4","Abrir facsímil")</f>
        <v>Abrir facsímil</v>
      </c>
      <c r="K325" s="3" t="s">
        <v>23</v>
      </c>
    </row>
    <row r="326" spans="1:11" ht="42" customHeight="1">
      <c r="A326" s="2" t="s">
        <v>861</v>
      </c>
      <c r="B326" s="2" t="s">
        <v>862</v>
      </c>
      <c r="C326" s="2" t="s">
        <v>36</v>
      </c>
      <c r="D326" s="2" t="s">
        <v>37</v>
      </c>
      <c r="E326" s="5">
        <v>-30006</v>
      </c>
      <c r="F326" s="3" t="s">
        <v>210</v>
      </c>
      <c r="G326" s="3" t="s">
        <v>863</v>
      </c>
      <c r="H326" s="2" t="s">
        <v>21</v>
      </c>
      <c r="I326" s="2" t="s">
        <v>864</v>
      </c>
      <c r="J326" s="3" t="str">
        <f>HYPERLINK("https://www.boe.es/gazeta/dias/1817/11/04/pdfs/GMD-1817-132.pdf#page=4","Abrir facsímil")</f>
        <v>Abrir facsímil</v>
      </c>
      <c r="K326" s="3" t="s">
        <v>23</v>
      </c>
    </row>
    <row r="327" spans="1:11" ht="42" customHeight="1">
      <c r="A327" s="2" t="s">
        <v>834</v>
      </c>
      <c r="B327" s="2" t="s">
        <v>835</v>
      </c>
      <c r="C327" s="2" t="s">
        <v>36</v>
      </c>
      <c r="D327" s="2" t="s">
        <v>37</v>
      </c>
      <c r="E327" s="5">
        <v>-30006</v>
      </c>
      <c r="F327" s="3" t="s">
        <v>210</v>
      </c>
      <c r="G327" s="3" t="s">
        <v>39</v>
      </c>
      <c r="H327" s="2" t="s">
        <v>21</v>
      </c>
      <c r="I327" s="2" t="s">
        <v>865</v>
      </c>
      <c r="J327" s="3" t="str">
        <f>HYPERLINK("https://www.boe.es/gazeta/dias/1817/11/04/pdfs/GMD-1817-132.pdf#page=5","Abrir facsímil")</f>
        <v>Abrir facsímil</v>
      </c>
      <c r="K327" s="3" t="s">
        <v>23</v>
      </c>
    </row>
    <row r="328" spans="1:11" ht="42" customHeight="1">
      <c r="A328" s="2" t="s">
        <v>834</v>
      </c>
      <c r="B328" s="2" t="s">
        <v>835</v>
      </c>
      <c r="C328" s="2" t="s">
        <v>43</v>
      </c>
      <c r="D328" s="2" t="s">
        <v>44</v>
      </c>
      <c r="E328" s="5">
        <v>-30004</v>
      </c>
      <c r="F328" s="3" t="s">
        <v>329</v>
      </c>
      <c r="G328" s="3" t="s">
        <v>330</v>
      </c>
      <c r="H328" s="2" t="s">
        <v>21</v>
      </c>
      <c r="I328" s="2" t="s">
        <v>866</v>
      </c>
      <c r="J328" s="3" t="str">
        <f>HYPERLINK("https://www.boe.es/gazeta/dias/1817/11/06/pdfs/GMD-1817-133.pdf#page=4","Abrir facsímil")</f>
        <v>Abrir facsímil</v>
      </c>
      <c r="K328" s="3" t="s">
        <v>23</v>
      </c>
    </row>
    <row r="329" spans="1:11" ht="42" customHeight="1">
      <c r="A329" s="2" t="s">
        <v>834</v>
      </c>
      <c r="B329" s="2" t="s">
        <v>835</v>
      </c>
      <c r="C329" s="2" t="s">
        <v>36</v>
      </c>
      <c r="D329" s="2" t="s">
        <v>37</v>
      </c>
      <c r="E329" s="5">
        <v>-30004</v>
      </c>
      <c r="F329" s="3" t="s">
        <v>329</v>
      </c>
      <c r="G329" s="3" t="s">
        <v>39</v>
      </c>
      <c r="H329" s="2" t="s">
        <v>21</v>
      </c>
      <c r="I329" s="2" t="s">
        <v>867</v>
      </c>
      <c r="J329" s="3" t="str">
        <f>HYPERLINK("https://www.boe.es/gazeta/dias/1817/11/06/pdfs/GMD-1817-133.pdf#page=5","Abrir facsímil")</f>
        <v>Abrir facsímil</v>
      </c>
      <c r="K329" s="3" t="s">
        <v>23</v>
      </c>
    </row>
    <row r="330" spans="1:11" ht="42" customHeight="1">
      <c r="A330" s="2" t="s">
        <v>834</v>
      </c>
      <c r="B330" s="2" t="s">
        <v>835</v>
      </c>
      <c r="C330" s="2" t="s">
        <v>36</v>
      </c>
      <c r="D330" s="2" t="s">
        <v>37</v>
      </c>
      <c r="E330" s="5">
        <v>-29997</v>
      </c>
      <c r="F330" s="3" t="s">
        <v>652</v>
      </c>
      <c r="G330" s="3" t="s">
        <v>39</v>
      </c>
      <c r="H330" s="2" t="s">
        <v>21</v>
      </c>
      <c r="I330" s="2" t="s">
        <v>868</v>
      </c>
      <c r="J330" s="3" t="str">
        <f>HYPERLINK("https://www.boe.es/gazeta/dias/1817/11/13/pdfs/GMD-1817-136.pdf#page=5","Abrir facsímil")</f>
        <v>Abrir facsímil</v>
      </c>
      <c r="K330" s="3" t="s">
        <v>23</v>
      </c>
    </row>
    <row r="331" spans="1:11" ht="42" customHeight="1">
      <c r="A331" s="2" t="s">
        <v>834</v>
      </c>
      <c r="B331" s="2" t="s">
        <v>835</v>
      </c>
      <c r="C331" s="2" t="s">
        <v>43</v>
      </c>
      <c r="D331" s="2" t="s">
        <v>44</v>
      </c>
      <c r="E331" s="5">
        <v>-29995</v>
      </c>
      <c r="F331" s="3" t="s">
        <v>514</v>
      </c>
      <c r="G331" s="3" t="s">
        <v>144</v>
      </c>
      <c r="H331" s="2" t="s">
        <v>21</v>
      </c>
      <c r="I331" s="2" t="s">
        <v>869</v>
      </c>
      <c r="J331" s="3" t="str">
        <f>HYPERLINK("https://www.boe.es/gazeta/dias/1817/11/15/pdfs/GMD-1817-137.pdf#page=4","Abrir facsímil")</f>
        <v>Abrir facsímil</v>
      </c>
      <c r="K331" s="3" t="s">
        <v>23</v>
      </c>
    </row>
    <row r="332" spans="1:11" ht="42" customHeight="1">
      <c r="A332" s="2" t="s">
        <v>834</v>
      </c>
      <c r="B332" s="2" t="s">
        <v>835</v>
      </c>
      <c r="C332" s="2" t="s">
        <v>43</v>
      </c>
      <c r="D332" s="2" t="s">
        <v>44</v>
      </c>
      <c r="E332" s="5">
        <v>-29988</v>
      </c>
      <c r="F332" s="3" t="s">
        <v>569</v>
      </c>
      <c r="G332" s="3" t="s">
        <v>39</v>
      </c>
      <c r="H332" s="2" t="s">
        <v>21</v>
      </c>
      <c r="I332" s="2" t="s">
        <v>870</v>
      </c>
      <c r="J332" s="3" t="str">
        <f>HYPERLINK("https://www.boe.es/gazeta/dias/1817/11/22/pdfs/GMD-1817-140.pdf#page=5","Abrir facsímil")</f>
        <v>Abrir facsímil</v>
      </c>
      <c r="K332" s="3" t="s">
        <v>23</v>
      </c>
    </row>
    <row r="333" spans="1:11" ht="42" customHeight="1">
      <c r="A333" s="2" t="s">
        <v>834</v>
      </c>
      <c r="B333" s="2" t="s">
        <v>835</v>
      </c>
      <c r="C333" s="2" t="s">
        <v>36</v>
      </c>
      <c r="D333" s="2" t="s">
        <v>37</v>
      </c>
      <c r="E333" s="5">
        <v>-29985</v>
      </c>
      <c r="F333" s="3" t="s">
        <v>76</v>
      </c>
      <c r="G333" s="3" t="s">
        <v>144</v>
      </c>
      <c r="H333" s="2" t="s">
        <v>21</v>
      </c>
      <c r="I333" s="2" t="s">
        <v>871</v>
      </c>
      <c r="J333" s="3" t="str">
        <f>HYPERLINK("https://www.boe.es/gazeta/dias/1817/11/25/pdfs/GMD-1817-141.pdf#page=4","Abrir facsímil")</f>
        <v>Abrir facsímil</v>
      </c>
      <c r="K333" s="3" t="s">
        <v>23</v>
      </c>
    </row>
    <row r="334" spans="1:11" ht="42" customHeight="1">
      <c r="A334" s="2" t="s">
        <v>872</v>
      </c>
      <c r="B334" s="2" t="s">
        <v>873</v>
      </c>
      <c r="C334" s="2" t="s">
        <v>36</v>
      </c>
      <c r="D334" s="2" t="s">
        <v>37</v>
      </c>
      <c r="E334" s="5">
        <v>-29985</v>
      </c>
      <c r="F334" s="3" t="s">
        <v>76</v>
      </c>
      <c r="G334" s="3" t="s">
        <v>39</v>
      </c>
      <c r="H334" s="2" t="s">
        <v>21</v>
      </c>
      <c r="I334" s="2" t="s">
        <v>874</v>
      </c>
      <c r="J334" s="3" t="str">
        <f>HYPERLINK("https://www.boe.es/gazeta/dias/1817/11/25/pdfs/GMD-1817-141.pdf#page=5","Abrir facsímil")</f>
        <v>Abrir facsímil</v>
      </c>
      <c r="K334" s="3" t="s">
        <v>23</v>
      </c>
    </row>
    <row r="335" spans="1:11" ht="42" customHeight="1">
      <c r="A335" s="2" t="s">
        <v>834</v>
      </c>
      <c r="B335" s="2" t="s">
        <v>835</v>
      </c>
      <c r="C335" s="2" t="s">
        <v>43</v>
      </c>
      <c r="D335" s="2" t="s">
        <v>44</v>
      </c>
      <c r="E335" s="5">
        <v>-29983</v>
      </c>
      <c r="F335" s="3" t="s">
        <v>148</v>
      </c>
      <c r="G335" s="3" t="s">
        <v>654</v>
      </c>
      <c r="H335" s="2" t="s">
        <v>21</v>
      </c>
      <c r="I335" s="2" t="s">
        <v>875</v>
      </c>
      <c r="J335" s="3" t="str">
        <f>HYPERLINK("https://www.boe.es/gazeta/dias/1817/11/27/pdfs/GMD-1817-142.pdf#page=4","Abrir facsímil")</f>
        <v>Abrir facsímil</v>
      </c>
      <c r="K335" s="3" t="s">
        <v>23</v>
      </c>
    </row>
    <row r="336" spans="1:11" ht="42" customHeight="1">
      <c r="A336" s="2" t="s">
        <v>861</v>
      </c>
      <c r="B336" s="2" t="s">
        <v>862</v>
      </c>
      <c r="C336" s="2" t="s">
        <v>36</v>
      </c>
      <c r="D336" s="2" t="s">
        <v>37</v>
      </c>
      <c r="E336" s="5">
        <v>-29983</v>
      </c>
      <c r="F336" s="3" t="s">
        <v>148</v>
      </c>
      <c r="G336" s="3" t="s">
        <v>551</v>
      </c>
      <c r="H336" s="2" t="s">
        <v>21</v>
      </c>
      <c r="I336" s="2" t="s">
        <v>876</v>
      </c>
      <c r="J336" s="3" t="str">
        <f>HYPERLINK("https://www.boe.es/gazeta/dias/1817/11/27/pdfs/GMD-1817-142.pdf#page=3","Abrir facsímil")</f>
        <v>Abrir facsímil</v>
      </c>
      <c r="K336" s="3" t="s">
        <v>23</v>
      </c>
    </row>
    <row r="337" spans="1:11" ht="42" customHeight="1">
      <c r="A337" s="2" t="s">
        <v>834</v>
      </c>
      <c r="B337" s="2" t="s">
        <v>835</v>
      </c>
      <c r="C337" s="2" t="s">
        <v>36</v>
      </c>
      <c r="D337" s="2" t="s">
        <v>37</v>
      </c>
      <c r="E337" s="5">
        <v>-29981</v>
      </c>
      <c r="F337" s="3" t="s">
        <v>111</v>
      </c>
      <c r="G337" s="3" t="s">
        <v>144</v>
      </c>
      <c r="H337" s="2" t="s">
        <v>21</v>
      </c>
      <c r="I337" s="2" t="s">
        <v>877</v>
      </c>
      <c r="J337" s="3" t="str">
        <f>HYPERLINK("https://www.boe.es/gazeta/dias/1817/11/29/pdfs/GMD-1817-143.pdf#page=4","Abrir facsímil")</f>
        <v>Abrir facsímil</v>
      </c>
      <c r="K337" s="3" t="s">
        <v>23</v>
      </c>
    </row>
    <row r="338" spans="1:11" ht="42" customHeight="1">
      <c r="A338" s="2" t="s">
        <v>834</v>
      </c>
      <c r="B338" s="2" t="s">
        <v>835</v>
      </c>
      <c r="C338" s="2" t="s">
        <v>36</v>
      </c>
      <c r="D338" s="2" t="s">
        <v>37</v>
      </c>
      <c r="E338" s="5">
        <v>-29981</v>
      </c>
      <c r="F338" s="3" t="s">
        <v>111</v>
      </c>
      <c r="G338" s="3" t="s">
        <v>39</v>
      </c>
      <c r="H338" s="2" t="s">
        <v>21</v>
      </c>
      <c r="I338" s="2" t="s">
        <v>878</v>
      </c>
      <c r="J338" s="3" t="str">
        <f>HYPERLINK("https://www.boe.es/gazeta/dias/1817/11/29/pdfs/GMD-1817-143.pdf#page=5","Abrir facsímil")</f>
        <v>Abrir facsímil</v>
      </c>
      <c r="K338" s="3" t="s">
        <v>23</v>
      </c>
    </row>
    <row r="339" spans="1:11" ht="42" customHeight="1">
      <c r="A339" s="2" t="s">
        <v>834</v>
      </c>
      <c r="B339" s="2" t="s">
        <v>835</v>
      </c>
      <c r="C339" s="2" t="s">
        <v>36</v>
      </c>
      <c r="D339" s="2" t="s">
        <v>37</v>
      </c>
      <c r="E339" s="5">
        <v>-29981</v>
      </c>
      <c r="F339" s="3" t="s">
        <v>111</v>
      </c>
      <c r="G339" s="3" t="s">
        <v>20</v>
      </c>
      <c r="H339" s="2" t="s">
        <v>21</v>
      </c>
      <c r="I339" s="2" t="s">
        <v>879</v>
      </c>
      <c r="J339" s="3" t="str">
        <f>HYPERLINK("https://www.boe.es/gazeta/dias/1817/11/29/pdfs/GMD-1817-143.pdf#page=7","Abrir facsímil")</f>
        <v>Abrir facsímil</v>
      </c>
      <c r="K339" s="3" t="s">
        <v>23</v>
      </c>
    </row>
    <row r="340" spans="1:11" ht="42" customHeight="1">
      <c r="A340" s="2" t="s">
        <v>834</v>
      </c>
      <c r="B340" s="2" t="s">
        <v>835</v>
      </c>
      <c r="C340" s="2" t="s">
        <v>36</v>
      </c>
      <c r="D340" s="2" t="s">
        <v>37</v>
      </c>
      <c r="E340" s="5">
        <v>-29978</v>
      </c>
      <c r="F340" s="3" t="s">
        <v>478</v>
      </c>
      <c r="G340" s="3" t="s">
        <v>39</v>
      </c>
      <c r="H340" s="2" t="s">
        <v>21</v>
      </c>
      <c r="I340" s="2" t="s">
        <v>880</v>
      </c>
      <c r="J340" s="3" t="str">
        <f>HYPERLINK("https://www.boe.es/gazeta/dias/1817/12/02/pdfs/GMD-1817-144.pdf#page=5","Abrir facsímil")</f>
        <v>Abrir facsímil</v>
      </c>
      <c r="K340" s="3" t="s">
        <v>23</v>
      </c>
    </row>
    <row r="341" spans="1:11" ht="42" customHeight="1">
      <c r="A341" s="2" t="s">
        <v>834</v>
      </c>
      <c r="B341" s="2" t="s">
        <v>835</v>
      </c>
      <c r="C341" s="2" t="s">
        <v>36</v>
      </c>
      <c r="D341" s="2" t="s">
        <v>37</v>
      </c>
      <c r="E341" s="5">
        <v>-29978</v>
      </c>
      <c r="F341" s="3" t="s">
        <v>478</v>
      </c>
      <c r="G341" s="3" t="s">
        <v>20</v>
      </c>
      <c r="H341" s="2" t="s">
        <v>21</v>
      </c>
      <c r="I341" s="2" t="s">
        <v>881</v>
      </c>
      <c r="J341" s="3" t="str">
        <f>HYPERLINK("https://www.boe.es/gazeta/dias/1817/12/02/pdfs/GMD-1817-144.pdf#page=7","Abrir facsímil")</f>
        <v>Abrir facsímil</v>
      </c>
      <c r="K341" s="3" t="s">
        <v>23</v>
      </c>
    </row>
    <row r="342" spans="1:11" ht="42" customHeight="1">
      <c r="A342" s="2" t="s">
        <v>834</v>
      </c>
      <c r="B342" s="2" t="s">
        <v>835</v>
      </c>
      <c r="C342" s="2" t="s">
        <v>36</v>
      </c>
      <c r="D342" s="2" t="s">
        <v>37</v>
      </c>
      <c r="E342" s="5">
        <v>-29978</v>
      </c>
      <c r="F342" s="3" t="s">
        <v>478</v>
      </c>
      <c r="G342" s="3" t="s">
        <v>77</v>
      </c>
      <c r="H342" s="2" t="s">
        <v>21</v>
      </c>
      <c r="I342" s="2" t="s">
        <v>882</v>
      </c>
      <c r="J342" s="3" t="str">
        <f>HYPERLINK("https://www.boe.es/gazeta/dias/1817/12/02/pdfs/GMD-1817-144.pdf#page=8","Abrir facsímil")</f>
        <v>Abrir facsímil</v>
      </c>
      <c r="K342" s="3" t="s">
        <v>23</v>
      </c>
    </row>
    <row r="343" spans="1:11" ht="42" customHeight="1">
      <c r="A343" s="2" t="s">
        <v>834</v>
      </c>
      <c r="B343" s="2" t="s">
        <v>835</v>
      </c>
      <c r="C343" s="2" t="s">
        <v>36</v>
      </c>
      <c r="D343" s="2" t="s">
        <v>37</v>
      </c>
      <c r="E343" s="5">
        <v>-29976</v>
      </c>
      <c r="F343" s="3" t="s">
        <v>81</v>
      </c>
      <c r="G343" s="3" t="s">
        <v>883</v>
      </c>
      <c r="H343" s="2" t="s">
        <v>21</v>
      </c>
      <c r="I343" s="2" t="s">
        <v>884</v>
      </c>
      <c r="J343" s="3" t="str">
        <f>HYPERLINK("https://www.boe.es/gazeta/dias/1817/12/04/pdfs/GMD-1817-145.pdf#page=4","Abrir facsímil")</f>
        <v>Abrir facsímil</v>
      </c>
      <c r="K343" s="3" t="s">
        <v>23</v>
      </c>
    </row>
    <row r="344" spans="1:11" ht="42" customHeight="1">
      <c r="A344" s="2" t="s">
        <v>834</v>
      </c>
      <c r="B344" s="2" t="s">
        <v>835</v>
      </c>
      <c r="C344" s="2" t="s">
        <v>36</v>
      </c>
      <c r="D344" s="2" t="s">
        <v>37</v>
      </c>
      <c r="E344" s="5">
        <v>-29976</v>
      </c>
      <c r="F344" s="3" t="s">
        <v>81</v>
      </c>
      <c r="G344" s="3" t="s">
        <v>885</v>
      </c>
      <c r="H344" s="2" t="s">
        <v>21</v>
      </c>
      <c r="I344" s="2" t="s">
        <v>886</v>
      </c>
      <c r="J344" s="3" t="str">
        <f>HYPERLINK("https://www.boe.es/gazeta/dias/1817/12/04/pdfs/GMD-1817-145.pdf#page=6","Abrir facsímil")</f>
        <v>Abrir facsímil</v>
      </c>
      <c r="K344" s="3" t="s">
        <v>23</v>
      </c>
    </row>
    <row r="345" spans="1:11" ht="42" customHeight="1">
      <c r="A345" s="2" t="s">
        <v>834</v>
      </c>
      <c r="B345" s="2" t="s">
        <v>835</v>
      </c>
      <c r="C345" s="2" t="s">
        <v>36</v>
      </c>
      <c r="D345" s="2" t="s">
        <v>37</v>
      </c>
      <c r="E345" s="5">
        <v>-29969</v>
      </c>
      <c r="F345" s="3" t="s">
        <v>252</v>
      </c>
      <c r="G345" s="3" t="s">
        <v>887</v>
      </c>
      <c r="H345" s="2" t="s">
        <v>21</v>
      </c>
      <c r="I345" s="2" t="s">
        <v>888</v>
      </c>
      <c r="J345" s="3" t="str">
        <f>HYPERLINK("https://www.boe.es/gazeta/dias/1817/12/11/pdfs/GMD-1817-148.pdf#page=9","Abrir facsímil")</f>
        <v>Abrir facsímil</v>
      </c>
      <c r="K345" s="3" t="s">
        <v>23</v>
      </c>
    </row>
    <row r="346" spans="1:11" ht="42" customHeight="1">
      <c r="A346" s="2" t="s">
        <v>834</v>
      </c>
      <c r="B346" s="2" t="s">
        <v>835</v>
      </c>
      <c r="C346" s="2" t="s">
        <v>138</v>
      </c>
      <c r="D346" s="2" t="s">
        <v>44</v>
      </c>
      <c r="E346" s="5">
        <v>-29962</v>
      </c>
      <c r="F346" s="3" t="s">
        <v>485</v>
      </c>
      <c r="G346" s="3" t="s">
        <v>144</v>
      </c>
      <c r="H346" s="2" t="s">
        <v>21</v>
      </c>
      <c r="I346" s="2" t="s">
        <v>889</v>
      </c>
      <c r="J346" s="3" t="str">
        <f>HYPERLINK("https://www.boe.es/gazeta/dias/1817/12/18/pdfs/GMD-1817-151.pdf#page=4","Abrir facsímil")</f>
        <v>Abrir facsímil</v>
      </c>
      <c r="K346" s="3" t="s">
        <v>23</v>
      </c>
    </row>
    <row r="347" spans="1:11" ht="42" customHeight="1">
      <c r="A347" s="2" t="s">
        <v>834</v>
      </c>
      <c r="B347" s="2" t="s">
        <v>835</v>
      </c>
      <c r="C347" s="2" t="s">
        <v>36</v>
      </c>
      <c r="D347" s="2" t="s">
        <v>37</v>
      </c>
      <c r="E347" s="5">
        <v>-29960</v>
      </c>
      <c r="F347" s="3" t="s">
        <v>657</v>
      </c>
      <c r="G347" s="3" t="s">
        <v>144</v>
      </c>
      <c r="H347" s="2" t="s">
        <v>21</v>
      </c>
      <c r="I347" s="2" t="s">
        <v>890</v>
      </c>
      <c r="J347" s="3" t="str">
        <f>HYPERLINK("https://www.boe.es/gazeta/dias/1817/12/20/pdfs/GMD-1817-152.pdf#page=4","Abrir facsímil")</f>
        <v>Abrir facsímil</v>
      </c>
      <c r="K347" s="3" t="s">
        <v>23</v>
      </c>
    </row>
    <row r="348" spans="1:11" ht="42" customHeight="1">
      <c r="A348" s="2" t="s">
        <v>834</v>
      </c>
      <c r="B348" s="2" t="s">
        <v>835</v>
      </c>
      <c r="C348" s="2" t="s">
        <v>36</v>
      </c>
      <c r="D348" s="2" t="s">
        <v>37</v>
      </c>
      <c r="E348" s="5">
        <v>-29950</v>
      </c>
      <c r="F348" s="3" t="s">
        <v>185</v>
      </c>
      <c r="G348" s="3" t="s">
        <v>891</v>
      </c>
      <c r="H348" s="2" t="s">
        <v>21</v>
      </c>
      <c r="I348" s="2" t="s">
        <v>892</v>
      </c>
      <c r="J348" s="3" t="str">
        <f>HYPERLINK("https://www.boe.es/gazeta/dias/1817/12/30/pdfs/GMD-1817-156.pdf#page=8","Abrir facsímil")</f>
        <v>Abrir facsímil</v>
      </c>
      <c r="K348" s="3" t="s">
        <v>23</v>
      </c>
    </row>
    <row r="349" spans="1:11" ht="42" customHeight="1">
      <c r="A349" s="2" t="s">
        <v>893</v>
      </c>
      <c r="B349" s="2" t="s">
        <v>894</v>
      </c>
      <c r="C349" s="2" t="s">
        <v>43</v>
      </c>
      <c r="D349" s="2" t="s">
        <v>44</v>
      </c>
      <c r="E349" s="5">
        <v>-30118</v>
      </c>
      <c r="F349" s="3" t="s">
        <v>432</v>
      </c>
      <c r="G349" s="3" t="s">
        <v>39</v>
      </c>
      <c r="H349" s="2" t="s">
        <v>21</v>
      </c>
      <c r="I349" s="2" t="s">
        <v>895</v>
      </c>
      <c r="J349" s="3" t="str">
        <f>HYPERLINK("https://www.boe.es/gazeta/dias/1817/07/15/pdfs/GMD-1817-84.pdf#page=5","Abrir facsímil")</f>
        <v>Abrir facsímil</v>
      </c>
      <c r="K349" s="3" t="s">
        <v>23</v>
      </c>
    </row>
    <row r="350" spans="1:11" ht="42" customHeight="1">
      <c r="A350" s="2" t="s">
        <v>896</v>
      </c>
      <c r="B350" s="2" t="s">
        <v>897</v>
      </c>
      <c r="C350" s="2" t="s">
        <v>36</v>
      </c>
      <c r="D350" s="2" t="s">
        <v>37</v>
      </c>
      <c r="E350" s="5">
        <v>-29962</v>
      </c>
      <c r="F350" s="3" t="s">
        <v>485</v>
      </c>
      <c r="G350" s="3" t="s">
        <v>144</v>
      </c>
      <c r="H350" s="2" t="s">
        <v>21</v>
      </c>
      <c r="I350" s="2" t="s">
        <v>898</v>
      </c>
      <c r="J350" s="3" t="str">
        <f>HYPERLINK("https://www.boe.es/gazeta/dias/1817/12/18/pdfs/GMD-1817-151.pdf#page=4","Abrir facsímil")</f>
        <v>Abrir facsímil</v>
      </c>
      <c r="K350" s="3" t="s">
        <v>23</v>
      </c>
    </row>
    <row r="351" spans="1:11" ht="42" customHeight="1">
      <c r="A351" s="2" t="s">
        <v>899</v>
      </c>
      <c r="B351" s="2" t="s">
        <v>899</v>
      </c>
      <c r="C351" s="2" t="s">
        <v>17</v>
      </c>
      <c r="D351" s="2" t="s">
        <v>18</v>
      </c>
      <c r="E351" s="5">
        <v>-30240</v>
      </c>
      <c r="F351" s="3" t="s">
        <v>347</v>
      </c>
      <c r="G351" s="3" t="s">
        <v>77</v>
      </c>
      <c r="H351" s="2" t="s">
        <v>21</v>
      </c>
      <c r="I351" s="2" t="s">
        <v>900</v>
      </c>
      <c r="J351" s="3" t="str">
        <f>HYPERLINK("https://www.boe.es/gazeta/dias/1817/03/15/pdfs/GMD-1817-32.pdf#page=8","Abrir facsímil")</f>
        <v>Abrir facsímil</v>
      </c>
      <c r="K351" s="3" t="s">
        <v>23</v>
      </c>
    </row>
    <row r="352" spans="1:11" ht="42" customHeight="1">
      <c r="A352" s="2" t="s">
        <v>901</v>
      </c>
      <c r="B352" s="2" t="s">
        <v>902</v>
      </c>
      <c r="C352" s="2" t="s">
        <v>510</v>
      </c>
      <c r="D352" s="2" t="s">
        <v>44</v>
      </c>
      <c r="E352" s="5">
        <v>-30200</v>
      </c>
      <c r="F352" s="3" t="s">
        <v>725</v>
      </c>
      <c r="G352" s="3" t="s">
        <v>77</v>
      </c>
      <c r="H352" s="2" t="s">
        <v>21</v>
      </c>
      <c r="I352" s="2" t="s">
        <v>903</v>
      </c>
      <c r="J352" s="3" t="str">
        <f>HYPERLINK("https://www.boe.es/gazeta/dias/1817/04/24/pdfs/GMD-1817-49.pdf#page=8","Abrir facsímil")</f>
        <v>Abrir facsímil</v>
      </c>
      <c r="K352" s="3" t="s">
        <v>23</v>
      </c>
    </row>
    <row r="353" spans="1:11" ht="42" customHeight="1">
      <c r="A353" s="2" t="s">
        <v>904</v>
      </c>
      <c r="B353" s="2" t="s">
        <v>905</v>
      </c>
      <c r="C353" s="2" t="s">
        <v>17</v>
      </c>
      <c r="D353" s="2" t="s">
        <v>18</v>
      </c>
      <c r="E353" s="5">
        <v>-29990</v>
      </c>
      <c r="F353" s="3" t="s">
        <v>542</v>
      </c>
      <c r="G353" s="3" t="s">
        <v>39</v>
      </c>
      <c r="H353" s="2" t="s">
        <v>21</v>
      </c>
      <c r="I353" s="2" t="s">
        <v>906</v>
      </c>
      <c r="J353" s="3" t="str">
        <f>HYPERLINK("https://www.boe.es/gazeta/dias/1817/11/20/pdfs/GMD-1817-139.pdf#page=5","Abrir facsímil")</f>
        <v>Abrir facsímil</v>
      </c>
      <c r="K353" s="3" t="s">
        <v>23</v>
      </c>
    </row>
    <row r="354" spans="1:11" ht="42" customHeight="1">
      <c r="A354" s="2" t="s">
        <v>907</v>
      </c>
      <c r="B354" s="2" t="s">
        <v>908</v>
      </c>
      <c r="C354" s="2" t="s">
        <v>36</v>
      </c>
      <c r="D354" s="2" t="s">
        <v>37</v>
      </c>
      <c r="E354" s="5">
        <v>-30109</v>
      </c>
      <c r="F354" s="3" t="s">
        <v>205</v>
      </c>
      <c r="G354" s="3" t="s">
        <v>314</v>
      </c>
      <c r="H354" s="2" t="s">
        <v>21</v>
      </c>
      <c r="I354" s="2" t="s">
        <v>909</v>
      </c>
      <c r="J354" s="3" t="str">
        <f>HYPERLINK("https://www.boe.es/gazeta/dias/1817/07/24/pdfs/GMD-1817-88.pdf#page=10","Abrir facsímil")</f>
        <v>Abrir facsímil</v>
      </c>
      <c r="K354" s="3" t="s">
        <v>23</v>
      </c>
    </row>
    <row r="355" spans="1:11" ht="42" customHeight="1">
      <c r="A355" s="2" t="s">
        <v>910</v>
      </c>
      <c r="B355" s="2" t="s">
        <v>911</v>
      </c>
      <c r="C355" s="2" t="s">
        <v>43</v>
      </c>
      <c r="D355" s="2" t="s">
        <v>44</v>
      </c>
      <c r="E355" s="5">
        <v>-30055</v>
      </c>
      <c r="F355" s="3" t="s">
        <v>71</v>
      </c>
      <c r="G355" s="3" t="s">
        <v>82</v>
      </c>
      <c r="H355" s="2" t="s">
        <v>21</v>
      </c>
      <c r="I355" s="2" t="s">
        <v>912</v>
      </c>
      <c r="J355" s="3" t="str">
        <f>HYPERLINK("https://www.boe.es/gazeta/dias/1817/09/16/pdfs/GMD-1817-111.pdf#page=12","Abrir facsímil")</f>
        <v>Abrir facsímil</v>
      </c>
      <c r="K355" s="3" t="s">
        <v>23</v>
      </c>
    </row>
    <row r="356" spans="1:11" ht="42" customHeight="1">
      <c r="A356" s="2" t="s">
        <v>913</v>
      </c>
      <c r="B356" s="2" t="s">
        <v>914</v>
      </c>
      <c r="C356" s="2" t="s">
        <v>55</v>
      </c>
      <c r="D356" s="2" t="s">
        <v>44</v>
      </c>
      <c r="E356" s="5">
        <v>-30114</v>
      </c>
      <c r="F356" s="3" t="s">
        <v>500</v>
      </c>
      <c r="G356" s="3" t="s">
        <v>915</v>
      </c>
      <c r="H356" s="2" t="s">
        <v>21</v>
      </c>
      <c r="I356" s="2" t="s">
        <v>916</v>
      </c>
      <c r="J356" s="3" t="str">
        <f>HYPERLINK("https://www.boe.es/gazeta/dias/1817/07/19/pdfs/GMD-1817-86.pdf#page=6","Abrir facsímil")</f>
        <v>Abrir facsímil</v>
      </c>
      <c r="K356" s="3" t="s">
        <v>23</v>
      </c>
    </row>
    <row r="357" spans="1:11" ht="42" customHeight="1">
      <c r="A357" s="2" t="s">
        <v>917</v>
      </c>
      <c r="B357" s="2" t="s">
        <v>918</v>
      </c>
      <c r="C357" s="2" t="s">
        <v>36</v>
      </c>
      <c r="D357" s="2" t="s">
        <v>37</v>
      </c>
      <c r="E357" s="5">
        <v>-30109</v>
      </c>
      <c r="F357" s="3" t="s">
        <v>205</v>
      </c>
      <c r="G357" s="3" t="s">
        <v>112</v>
      </c>
      <c r="H357" s="2" t="s">
        <v>21</v>
      </c>
      <c r="I357" s="2" t="s">
        <v>919</v>
      </c>
      <c r="J357" s="3" t="str">
        <f>HYPERLINK("https://www.boe.es/gazeta/dias/1817/07/24/pdfs/GMD-1817-88.pdf#page=11","Abrir facsímil")</f>
        <v>Abrir facsímil</v>
      </c>
      <c r="K357" s="3" t="s">
        <v>23</v>
      </c>
    </row>
    <row r="358" spans="1:11" ht="42" customHeight="1">
      <c r="A358" s="2" t="s">
        <v>920</v>
      </c>
      <c r="B358" s="2" t="s">
        <v>921</v>
      </c>
      <c r="C358" s="2" t="s">
        <v>36</v>
      </c>
      <c r="D358" s="2" t="s">
        <v>37</v>
      </c>
      <c r="E358" s="5">
        <v>-30109</v>
      </c>
      <c r="F358" s="3" t="s">
        <v>205</v>
      </c>
      <c r="G358" s="3" t="s">
        <v>311</v>
      </c>
      <c r="H358" s="2" t="s">
        <v>21</v>
      </c>
      <c r="I358" s="2" t="s">
        <v>922</v>
      </c>
      <c r="J358" s="3" t="str">
        <f>HYPERLINK("https://www.boe.es/gazeta/dias/1817/07/24/pdfs/GMD-1817-88.pdf#page=12","Abrir facsímil")</f>
        <v>Abrir facsímil</v>
      </c>
      <c r="K358" s="3" t="s">
        <v>23</v>
      </c>
    </row>
    <row r="359" spans="1:11" ht="42" customHeight="1">
      <c r="A359" s="2" t="s">
        <v>920</v>
      </c>
      <c r="B359" s="2" t="s">
        <v>921</v>
      </c>
      <c r="C359" s="2" t="s">
        <v>36</v>
      </c>
      <c r="D359" s="2" t="s">
        <v>37</v>
      </c>
      <c r="E359" s="5">
        <v>-30011</v>
      </c>
      <c r="F359" s="3" t="s">
        <v>313</v>
      </c>
      <c r="G359" s="3" t="s">
        <v>314</v>
      </c>
      <c r="H359" s="2" t="s">
        <v>21</v>
      </c>
      <c r="I359" s="2" t="s">
        <v>923</v>
      </c>
      <c r="J359" s="3" t="str">
        <f>HYPERLINK("https://www.boe.es/gazeta/dias/1817/10/30/pdfs/GMD-1817-130.pdf#page=10","Abrir facsímil")</f>
        <v>Abrir facsímil</v>
      </c>
      <c r="K359" s="3" t="s">
        <v>23</v>
      </c>
    </row>
    <row r="360" spans="1:11" ht="42" customHeight="1">
      <c r="A360" s="2" t="s">
        <v>924</v>
      </c>
      <c r="B360" s="2" t="s">
        <v>925</v>
      </c>
      <c r="C360" s="2" t="s">
        <v>17</v>
      </c>
      <c r="D360" s="2" t="s">
        <v>18</v>
      </c>
      <c r="E360" s="5">
        <v>-30023</v>
      </c>
      <c r="F360" s="3" t="s">
        <v>460</v>
      </c>
      <c r="G360" s="3" t="s">
        <v>461</v>
      </c>
      <c r="H360" s="2" t="s">
        <v>21</v>
      </c>
      <c r="I360" s="2" t="s">
        <v>926</v>
      </c>
      <c r="J360" s="3" t="str">
        <f>HYPERLINK("https://www.boe.es/gazeta/dias/1817/10/18/pdfs/GMD-1817-125.pdf#page=8","Abrir facsímil")</f>
        <v>Abrir facsímil</v>
      </c>
      <c r="K360" s="3" t="s">
        <v>23</v>
      </c>
    </row>
    <row r="361" spans="1:11" ht="42" customHeight="1">
      <c r="A361" s="2" t="s">
        <v>927</v>
      </c>
      <c r="B361" s="2" t="s">
        <v>928</v>
      </c>
      <c r="C361" s="2" t="s">
        <v>17</v>
      </c>
      <c r="D361" s="2" t="s">
        <v>18</v>
      </c>
      <c r="E361" s="5">
        <v>-30100</v>
      </c>
      <c r="F361" s="3" t="s">
        <v>436</v>
      </c>
      <c r="G361" s="3" t="s">
        <v>77</v>
      </c>
      <c r="H361" s="2" t="s">
        <v>21</v>
      </c>
      <c r="I361" s="2" t="s">
        <v>929</v>
      </c>
      <c r="J361" s="3" t="str">
        <f>HYPERLINK("https://www.boe.es/gazeta/dias/1817/08/02/pdfs/GMD-1817-92.pdf#page=8","Abrir facsímil")</f>
        <v>Abrir facsímil</v>
      </c>
      <c r="K361" s="3" t="s">
        <v>23</v>
      </c>
    </row>
    <row r="362" spans="1:11" ht="42" customHeight="1">
      <c r="A362" s="2" t="s">
        <v>930</v>
      </c>
      <c r="B362" s="2" t="s">
        <v>931</v>
      </c>
      <c r="C362" s="2" t="s">
        <v>36</v>
      </c>
      <c r="D362" s="2" t="s">
        <v>37</v>
      </c>
      <c r="E362" s="5">
        <v>-29950</v>
      </c>
      <c r="F362" s="3" t="s">
        <v>185</v>
      </c>
      <c r="G362" s="3" t="s">
        <v>57</v>
      </c>
      <c r="H362" s="2" t="s">
        <v>21</v>
      </c>
      <c r="I362" s="2" t="s">
        <v>932</v>
      </c>
      <c r="J362" s="3" t="str">
        <f>HYPERLINK("https://www.boe.es/gazeta/dias/1817/12/30/pdfs/GMD-1817-156.pdf#page=6","Abrir facsímil")</f>
        <v>Abrir facsímil</v>
      </c>
      <c r="K362" s="3" t="s">
        <v>23</v>
      </c>
    </row>
    <row r="363" spans="1:11" ht="42" customHeight="1">
      <c r="A363" s="2" t="s">
        <v>933</v>
      </c>
      <c r="B363" s="2" t="s">
        <v>934</v>
      </c>
      <c r="C363" s="2" t="s">
        <v>36</v>
      </c>
      <c r="D363" s="2" t="s">
        <v>37</v>
      </c>
      <c r="E363" s="5">
        <v>-30137</v>
      </c>
      <c r="F363" s="3" t="s">
        <v>935</v>
      </c>
      <c r="G363" s="3" t="s">
        <v>20</v>
      </c>
      <c r="H363" s="2" t="s">
        <v>27</v>
      </c>
      <c r="I363" s="2" t="s">
        <v>936</v>
      </c>
      <c r="J363" s="3" t="str">
        <f>HYPERLINK("https://www.boe.es/gazeta/dias/1817/06/26/pdfs/GMD-1817-76.pdf#page=7","Abrir facsímil")</f>
        <v>Abrir facsímil</v>
      </c>
      <c r="K363" s="3" t="s">
        <v>29</v>
      </c>
    </row>
    <row r="364" spans="1:11" ht="42" customHeight="1">
      <c r="A364" s="2" t="s">
        <v>937</v>
      </c>
      <c r="B364" s="2" t="s">
        <v>938</v>
      </c>
      <c r="C364" s="2" t="s">
        <v>36</v>
      </c>
      <c r="D364" s="2" t="s">
        <v>37</v>
      </c>
      <c r="E364" s="5">
        <v>-29983</v>
      </c>
      <c r="F364" s="3" t="s">
        <v>148</v>
      </c>
      <c r="G364" s="3" t="s">
        <v>654</v>
      </c>
      <c r="H364" s="2" t="s">
        <v>21</v>
      </c>
      <c r="I364" s="2" t="s">
        <v>939</v>
      </c>
      <c r="J364" s="3" t="str">
        <f>HYPERLINK("https://www.boe.es/gazeta/dias/1817/11/27/pdfs/GMD-1817-142.pdf#page=4","Abrir facsímil")</f>
        <v>Abrir facsímil</v>
      </c>
      <c r="K364" s="3" t="s">
        <v>23</v>
      </c>
    </row>
    <row r="365" spans="1:11" ht="42" customHeight="1">
      <c r="A365" s="2" t="s">
        <v>940</v>
      </c>
      <c r="B365" s="2" t="s">
        <v>941</v>
      </c>
      <c r="C365" s="2" t="s">
        <v>36</v>
      </c>
      <c r="D365" s="2" t="s">
        <v>37</v>
      </c>
      <c r="E365" s="5">
        <v>-29983</v>
      </c>
      <c r="F365" s="3" t="s">
        <v>148</v>
      </c>
      <c r="G365" s="3" t="s">
        <v>654</v>
      </c>
      <c r="H365" s="2" t="s">
        <v>21</v>
      </c>
      <c r="I365" s="2" t="s">
        <v>942</v>
      </c>
      <c r="J365" s="3" t="str">
        <f>HYPERLINK("https://www.boe.es/gazeta/dias/1817/11/27/pdfs/GMD-1817-142.pdf#page=4","Abrir facsímil")</f>
        <v>Abrir facsímil</v>
      </c>
      <c r="K365" s="3" t="s">
        <v>23</v>
      </c>
    </row>
    <row r="366" spans="1:11" ht="42" customHeight="1">
      <c r="A366" s="2" t="s">
        <v>943</v>
      </c>
      <c r="B366" s="2" t="s">
        <v>944</v>
      </c>
      <c r="C366" s="2" t="s">
        <v>36</v>
      </c>
      <c r="D366" s="2" t="s">
        <v>37</v>
      </c>
      <c r="E366" s="5">
        <v>-30081</v>
      </c>
      <c r="F366" s="3" t="s">
        <v>133</v>
      </c>
      <c r="G366" s="3" t="s">
        <v>57</v>
      </c>
      <c r="H366" s="2" t="s">
        <v>21</v>
      </c>
      <c r="I366" s="2" t="s">
        <v>945</v>
      </c>
      <c r="J366" s="3" t="str">
        <f>HYPERLINK("https://www.boe.es/gazeta/dias/1817/08/21/pdfs/GMD-1817-100.pdf#page=6","Abrir facsímil")</f>
        <v>Abrir facsímil</v>
      </c>
      <c r="K366" s="3" t="s">
        <v>23</v>
      </c>
    </row>
    <row r="367" spans="1:11" ht="42" customHeight="1">
      <c r="A367" s="2" t="s">
        <v>943</v>
      </c>
      <c r="B367" s="2" t="s">
        <v>944</v>
      </c>
      <c r="C367" s="2" t="s">
        <v>36</v>
      </c>
      <c r="D367" s="2" t="s">
        <v>37</v>
      </c>
      <c r="E367" s="5">
        <v>-30081</v>
      </c>
      <c r="F367" s="3" t="s">
        <v>133</v>
      </c>
      <c r="G367" s="3" t="s">
        <v>77</v>
      </c>
      <c r="H367" s="2" t="s">
        <v>21</v>
      </c>
      <c r="I367" s="2" t="s">
        <v>946</v>
      </c>
      <c r="J367" s="3" t="str">
        <f>HYPERLINK("https://www.boe.es/gazeta/dias/1817/08/21/pdfs/GMD-1817-100.pdf#page=8","Abrir facsímil")</f>
        <v>Abrir facsímil</v>
      </c>
      <c r="K367" s="3" t="s">
        <v>23</v>
      </c>
    </row>
    <row r="368" spans="1:11" ht="42" customHeight="1">
      <c r="A368" s="2" t="s">
        <v>947</v>
      </c>
      <c r="B368" s="2" t="s">
        <v>948</v>
      </c>
      <c r="C368" s="2" t="s">
        <v>36</v>
      </c>
      <c r="D368" s="2" t="s">
        <v>37</v>
      </c>
      <c r="E368" s="5">
        <v>-30249</v>
      </c>
      <c r="F368" s="3" t="s">
        <v>120</v>
      </c>
      <c r="G368" s="3" t="s">
        <v>20</v>
      </c>
      <c r="H368" s="2" t="s">
        <v>21</v>
      </c>
      <c r="I368" s="2" t="s">
        <v>949</v>
      </c>
      <c r="J368" s="3" t="str">
        <f>HYPERLINK("https://www.boe.es/gazeta/dias/1817/03/06/pdfs/GMD-1817-28.pdf#page=7","Abrir facsímil")</f>
        <v>Abrir facsímil</v>
      </c>
      <c r="K368" s="3" t="s">
        <v>23</v>
      </c>
    </row>
    <row r="369" spans="1:11" ht="42" customHeight="1">
      <c r="A369" s="2" t="s">
        <v>950</v>
      </c>
      <c r="B369" s="2" t="s">
        <v>951</v>
      </c>
      <c r="C369" s="2" t="s">
        <v>55</v>
      </c>
      <c r="D369" s="2" t="s">
        <v>44</v>
      </c>
      <c r="E369" s="5">
        <v>-30249</v>
      </c>
      <c r="F369" s="3" t="s">
        <v>120</v>
      </c>
      <c r="G369" s="3" t="s">
        <v>39</v>
      </c>
      <c r="H369" s="2" t="s">
        <v>21</v>
      </c>
      <c r="I369" s="2" t="s">
        <v>952</v>
      </c>
      <c r="J369" s="3" t="str">
        <f>HYPERLINK("https://www.boe.es/gazeta/dias/1817/03/06/pdfs/GMD-1817-28.pdf#page=5","Abrir facsímil")</f>
        <v>Abrir facsímil</v>
      </c>
      <c r="K369" s="3" t="s">
        <v>23</v>
      </c>
    </row>
    <row r="370" spans="1:11" ht="42" customHeight="1">
      <c r="A370" s="2" t="s">
        <v>953</v>
      </c>
      <c r="B370" s="2" t="s">
        <v>954</v>
      </c>
      <c r="C370" s="2" t="s">
        <v>17</v>
      </c>
      <c r="D370" s="2" t="s">
        <v>18</v>
      </c>
      <c r="E370" s="5">
        <v>-30142</v>
      </c>
      <c r="F370" s="3" t="s">
        <v>286</v>
      </c>
      <c r="G370" s="3" t="s">
        <v>20</v>
      </c>
      <c r="H370" s="2" t="s">
        <v>27</v>
      </c>
      <c r="I370" s="2" t="s">
        <v>955</v>
      </c>
      <c r="J370" s="3" t="str">
        <f>HYPERLINK("https://www.boe.es/gazeta/dias/1817/06/21/pdfs/GMD-1817-74.pdf#page=7","Abrir facsímil")</f>
        <v>Abrir facsímil</v>
      </c>
      <c r="K370" s="3" t="s">
        <v>29</v>
      </c>
    </row>
    <row r="371" spans="1:11" ht="42" customHeight="1">
      <c r="A371" s="2" t="s">
        <v>956</v>
      </c>
      <c r="B371" s="2" t="s">
        <v>957</v>
      </c>
      <c r="C371" s="2" t="s">
        <v>17</v>
      </c>
      <c r="D371" s="2" t="s">
        <v>18</v>
      </c>
      <c r="E371" s="5">
        <v>-30090</v>
      </c>
      <c r="F371" s="3" t="s">
        <v>89</v>
      </c>
      <c r="G371" s="3" t="s">
        <v>20</v>
      </c>
      <c r="H371" s="2" t="s">
        <v>21</v>
      </c>
      <c r="I371" s="2" t="s">
        <v>958</v>
      </c>
      <c r="J371" s="3" t="str">
        <f>HYPERLINK("https://www.boe.es/gazeta/dias/1817/08/12/pdfs/GMD-1817-96.pdf#page=7","Abrir facsímil")</f>
        <v>Abrir facsímil</v>
      </c>
      <c r="K371" s="3" t="s">
        <v>23</v>
      </c>
    </row>
    <row r="372" spans="1:11" ht="42" customHeight="1">
      <c r="A372" s="2" t="s">
        <v>956</v>
      </c>
      <c r="B372" s="2" t="s">
        <v>957</v>
      </c>
      <c r="C372" s="2" t="s">
        <v>17</v>
      </c>
      <c r="D372" s="2" t="s">
        <v>18</v>
      </c>
      <c r="E372" s="5">
        <v>-30065</v>
      </c>
      <c r="F372" s="3" t="s">
        <v>201</v>
      </c>
      <c r="G372" s="3" t="s">
        <v>77</v>
      </c>
      <c r="H372" s="2" t="s">
        <v>21</v>
      </c>
      <c r="I372" s="2" t="s">
        <v>959</v>
      </c>
      <c r="J372" s="3" t="str">
        <f>HYPERLINK("https://www.boe.es/gazeta/dias/1817/09/06/pdfs/GMD-1817-107.pdf#page=8","Abrir facsímil")</f>
        <v>Abrir facsímil</v>
      </c>
      <c r="K372" s="3" t="s">
        <v>23</v>
      </c>
    </row>
    <row r="373" spans="1:11" ht="42" customHeight="1">
      <c r="A373" s="2" t="s">
        <v>956</v>
      </c>
      <c r="B373" s="2" t="s">
        <v>957</v>
      </c>
      <c r="C373" s="2" t="s">
        <v>17</v>
      </c>
      <c r="D373" s="2" t="s">
        <v>18</v>
      </c>
      <c r="E373" s="5">
        <v>-30037</v>
      </c>
      <c r="F373" s="3" t="s">
        <v>453</v>
      </c>
      <c r="G373" s="3" t="s">
        <v>77</v>
      </c>
      <c r="H373" s="2" t="s">
        <v>21</v>
      </c>
      <c r="I373" s="2" t="s">
        <v>960</v>
      </c>
      <c r="J373" s="3" t="str">
        <f>HYPERLINK("https://www.boe.es/gazeta/dias/1817/10/04/pdfs/GMD-1817-119.pdf#page=8","Abrir facsímil")</f>
        <v>Abrir facsímil</v>
      </c>
      <c r="K373" s="3" t="s">
        <v>23</v>
      </c>
    </row>
    <row r="374" spans="1:11" ht="42" customHeight="1">
      <c r="A374" s="2" t="s">
        <v>956</v>
      </c>
      <c r="B374" s="2" t="s">
        <v>957</v>
      </c>
      <c r="C374" s="2" t="s">
        <v>17</v>
      </c>
      <c r="D374" s="2" t="s">
        <v>18</v>
      </c>
      <c r="E374" s="5">
        <v>-30013</v>
      </c>
      <c r="F374" s="3" t="s">
        <v>464</v>
      </c>
      <c r="G374" s="3" t="s">
        <v>77</v>
      </c>
      <c r="H374" s="2" t="s">
        <v>21</v>
      </c>
      <c r="I374" s="2" t="s">
        <v>961</v>
      </c>
      <c r="J374" s="3" t="str">
        <f>HYPERLINK("https://www.boe.es/gazeta/dias/1817/10/28/pdfs/GMD-1817-129.pdf#page=8","Abrir facsímil")</f>
        <v>Abrir facsímil</v>
      </c>
      <c r="K374" s="3" t="s">
        <v>23</v>
      </c>
    </row>
    <row r="375" spans="1:11" ht="42" customHeight="1">
      <c r="A375" s="2" t="s">
        <v>962</v>
      </c>
      <c r="B375" s="2" t="s">
        <v>963</v>
      </c>
      <c r="C375" s="2" t="s">
        <v>55</v>
      </c>
      <c r="D375" s="2" t="s">
        <v>44</v>
      </c>
      <c r="E375" s="5">
        <v>-30125</v>
      </c>
      <c r="F375" s="3" t="s">
        <v>102</v>
      </c>
      <c r="G375" s="3" t="s">
        <v>20</v>
      </c>
      <c r="H375" s="2" t="s">
        <v>21</v>
      </c>
      <c r="I375" s="2" t="s">
        <v>964</v>
      </c>
      <c r="J375" s="3" t="str">
        <f>HYPERLINK("https://www.boe.es/gazeta/dias/1817/07/08/pdfs/GMD-1817-81.pdf#page=7","Abrir facsímil")</f>
        <v>Abrir facsímil</v>
      </c>
      <c r="K375" s="3" t="s">
        <v>23</v>
      </c>
    </row>
    <row r="376" spans="1:11" ht="42" customHeight="1">
      <c r="A376" s="2" t="s">
        <v>965</v>
      </c>
      <c r="B376" s="2" t="s">
        <v>966</v>
      </c>
      <c r="C376" s="2" t="s">
        <v>36</v>
      </c>
      <c r="D376" s="2" t="s">
        <v>37</v>
      </c>
      <c r="E376" s="5">
        <v>-30088</v>
      </c>
      <c r="F376" s="3" t="s">
        <v>244</v>
      </c>
      <c r="G376" s="3" t="s">
        <v>245</v>
      </c>
      <c r="H376" s="2" t="s">
        <v>21</v>
      </c>
      <c r="I376" s="2" t="s">
        <v>967</v>
      </c>
      <c r="J376" s="3" t="str">
        <f>HYPERLINK("https://www.boe.es/gazeta/dias/1817/08/14/pdfs/GMD-1817-97.pdf#page=8","Abrir facsímil")</f>
        <v>Abrir facsímil</v>
      </c>
      <c r="K376" s="3" t="s">
        <v>23</v>
      </c>
    </row>
    <row r="377" spans="1:11" ht="42" customHeight="1">
      <c r="A377" s="2" t="s">
        <v>968</v>
      </c>
      <c r="B377" s="2" t="s">
        <v>969</v>
      </c>
      <c r="C377" s="2" t="s">
        <v>43</v>
      </c>
      <c r="D377" s="2" t="s">
        <v>44</v>
      </c>
      <c r="E377" s="5">
        <v>-30303</v>
      </c>
      <c r="F377" s="3" t="s">
        <v>407</v>
      </c>
      <c r="G377" s="3" t="s">
        <v>20</v>
      </c>
      <c r="H377" s="2" t="s">
        <v>21</v>
      </c>
      <c r="I377" s="2" t="s">
        <v>970</v>
      </c>
      <c r="J377" s="3" t="str">
        <f>HYPERLINK("https://www.boe.es/gazeta/dias/1817/01/11/pdfs/GMD-1817-5.pdf#page=7","Abrir facsímil")</f>
        <v>Abrir facsímil</v>
      </c>
      <c r="K377" s="3" t="s">
        <v>23</v>
      </c>
    </row>
    <row r="378" spans="1:11" ht="42" customHeight="1">
      <c r="A378" s="2" t="s">
        <v>971</v>
      </c>
      <c r="B378" s="2" t="s">
        <v>972</v>
      </c>
      <c r="C378" s="2" t="s">
        <v>36</v>
      </c>
      <c r="D378" s="2" t="s">
        <v>37</v>
      </c>
      <c r="E378" s="5">
        <v>-30128</v>
      </c>
      <c r="F378" s="3" t="s">
        <v>761</v>
      </c>
      <c r="G378" s="3" t="s">
        <v>973</v>
      </c>
      <c r="H378" s="2" t="s">
        <v>21</v>
      </c>
      <c r="I378" s="2" t="s">
        <v>974</v>
      </c>
      <c r="J378" s="3" t="str">
        <f>HYPERLINK("https://www.boe.es/gazeta/dias/1817/07/05/pdfs/GMD-1817-80.pdf#page=6","Abrir facsímil")</f>
        <v>Abrir facsímil</v>
      </c>
      <c r="K378" s="3" t="s">
        <v>23</v>
      </c>
    </row>
    <row r="379" spans="1:11" ht="42" customHeight="1">
      <c r="A379" s="2" t="s">
        <v>975</v>
      </c>
      <c r="B379" s="2" t="s">
        <v>976</v>
      </c>
      <c r="C379" s="2" t="s">
        <v>36</v>
      </c>
      <c r="D379" s="2" t="s">
        <v>37</v>
      </c>
      <c r="E379" s="5">
        <v>-30109</v>
      </c>
      <c r="F379" s="3" t="s">
        <v>205</v>
      </c>
      <c r="G379" s="3" t="s">
        <v>112</v>
      </c>
      <c r="H379" s="2" t="s">
        <v>21</v>
      </c>
      <c r="I379" s="2" t="s">
        <v>977</v>
      </c>
      <c r="J379" s="3" t="str">
        <f>HYPERLINK("https://www.boe.es/gazeta/dias/1817/07/24/pdfs/GMD-1817-88.pdf#page=11","Abrir facsímil")</f>
        <v>Abrir facsímil</v>
      </c>
      <c r="K379" s="3" t="s">
        <v>23</v>
      </c>
    </row>
    <row r="380" spans="1:11" ht="42" customHeight="1">
      <c r="A380" s="2" t="s">
        <v>978</v>
      </c>
      <c r="B380" s="2" t="s">
        <v>979</v>
      </c>
      <c r="C380" s="2" t="s">
        <v>17</v>
      </c>
      <c r="D380" s="2" t="s">
        <v>18</v>
      </c>
      <c r="E380" s="5">
        <v>-30233</v>
      </c>
      <c r="F380" s="3" t="s">
        <v>577</v>
      </c>
      <c r="G380" s="3" t="s">
        <v>578</v>
      </c>
      <c r="H380" s="2" t="s">
        <v>21</v>
      </c>
      <c r="I380" s="2" t="s">
        <v>980</v>
      </c>
      <c r="J380" s="3" t="str">
        <f>HYPERLINK("https://www.boe.es/gazeta/dias/1817/03/22/pdfs/GMD-1817-35.pdf#page=8","Abrir facsímil")</f>
        <v>Abrir facsímil</v>
      </c>
      <c r="K380" s="3" t="s">
        <v>23</v>
      </c>
    </row>
    <row r="381" spans="1:11" ht="42" customHeight="1">
      <c r="A381" s="2" t="s">
        <v>981</v>
      </c>
      <c r="B381" s="2" t="s">
        <v>982</v>
      </c>
      <c r="C381" s="2" t="s">
        <v>43</v>
      </c>
      <c r="D381" s="2" t="s">
        <v>44</v>
      </c>
      <c r="E381" s="5">
        <v>-30130</v>
      </c>
      <c r="F381" s="3" t="s">
        <v>768</v>
      </c>
      <c r="G381" s="3" t="s">
        <v>39</v>
      </c>
      <c r="H381" s="2" t="s">
        <v>21</v>
      </c>
      <c r="I381" s="2" t="s">
        <v>983</v>
      </c>
      <c r="J381" s="3" t="str">
        <f>HYPERLINK("https://www.boe.es/gazeta/dias/1817/07/03/pdfs/GMD-1817-79.pdf#page=5","Abrir facsímil")</f>
        <v>Abrir facsímil</v>
      </c>
      <c r="K381" s="3" t="s">
        <v>23</v>
      </c>
    </row>
    <row r="382" spans="1:11" ht="42" customHeight="1">
      <c r="A382" s="2" t="s">
        <v>984</v>
      </c>
      <c r="B382" s="2" t="s">
        <v>985</v>
      </c>
      <c r="C382" s="2" t="s">
        <v>43</v>
      </c>
      <c r="D382" s="2" t="s">
        <v>44</v>
      </c>
      <c r="E382" s="5">
        <v>-29983</v>
      </c>
      <c r="F382" s="3" t="s">
        <v>148</v>
      </c>
      <c r="G382" s="3" t="s">
        <v>654</v>
      </c>
      <c r="H382" s="2" t="s">
        <v>21</v>
      </c>
      <c r="I382" s="2" t="s">
        <v>986</v>
      </c>
      <c r="J382" s="3" t="str">
        <f>HYPERLINK("https://www.boe.es/gazeta/dias/1817/11/27/pdfs/GMD-1817-142.pdf#page=4","Abrir facsímil")</f>
        <v>Abrir facsímil</v>
      </c>
      <c r="K382" s="3" t="s">
        <v>23</v>
      </c>
    </row>
    <row r="383" spans="1:11" ht="42" customHeight="1">
      <c r="A383" s="2" t="s">
        <v>987</v>
      </c>
      <c r="B383" s="2" t="s">
        <v>987</v>
      </c>
      <c r="C383" s="2" t="s">
        <v>97</v>
      </c>
      <c r="D383" s="2" t="s">
        <v>44</v>
      </c>
      <c r="E383" s="5">
        <v>-30242</v>
      </c>
      <c r="F383" s="3" t="s">
        <v>62</v>
      </c>
      <c r="G383" s="3" t="s">
        <v>629</v>
      </c>
      <c r="H383" s="2" t="s">
        <v>21</v>
      </c>
      <c r="I383" s="2" t="s">
        <v>988</v>
      </c>
      <c r="J383" s="3" t="str">
        <f>HYPERLINK("https://www.boe.es/gazeta/dias/1817/03/13/pdfs/GMD-1817-31.pdf#page=2","Abrir facsímil")</f>
        <v>Abrir facsímil</v>
      </c>
      <c r="K383" s="3" t="s">
        <v>23</v>
      </c>
    </row>
    <row r="384" spans="1:11" ht="42" customHeight="1">
      <c r="A384" s="2" t="s">
        <v>987</v>
      </c>
      <c r="B384" s="2" t="s">
        <v>987</v>
      </c>
      <c r="C384" s="2" t="s">
        <v>55</v>
      </c>
      <c r="D384" s="2" t="s">
        <v>44</v>
      </c>
      <c r="E384" s="5">
        <v>-30212</v>
      </c>
      <c r="F384" s="3" t="s">
        <v>745</v>
      </c>
      <c r="G384" s="3" t="s">
        <v>551</v>
      </c>
      <c r="H384" s="2" t="s">
        <v>21</v>
      </c>
      <c r="I384" s="2" t="s">
        <v>989</v>
      </c>
      <c r="J384" s="3" t="str">
        <f>HYPERLINK("https://www.boe.es/gazeta/dias/1817/04/12/pdfs/GMD-1817-44.pdf#page=3","Abrir facsímil")</f>
        <v>Abrir facsímil</v>
      </c>
      <c r="K384" s="3" t="s">
        <v>23</v>
      </c>
    </row>
    <row r="385" spans="1:11" ht="42" customHeight="1">
      <c r="A385" s="2" t="s">
        <v>990</v>
      </c>
      <c r="B385" s="2" t="s">
        <v>990</v>
      </c>
      <c r="C385" s="2" t="s">
        <v>43</v>
      </c>
      <c r="D385" s="2" t="s">
        <v>44</v>
      </c>
      <c r="E385" s="5">
        <v>-30172</v>
      </c>
      <c r="F385" s="3" t="s">
        <v>991</v>
      </c>
      <c r="G385" s="3" t="s">
        <v>144</v>
      </c>
      <c r="H385" s="2" t="s">
        <v>21</v>
      </c>
      <c r="I385" s="2" t="s">
        <v>992</v>
      </c>
      <c r="J385" s="3" t="str">
        <f>HYPERLINK("https://www.boe.es/gazeta/dias/1817/05/22/pdfs/GMD-1817-61.pdf#page=4","Abrir facsímil")</f>
        <v>Abrir facsímil</v>
      </c>
      <c r="K385" s="3" t="s">
        <v>23</v>
      </c>
    </row>
    <row r="386" spans="1:11" ht="42" customHeight="1">
      <c r="A386" s="2" t="s">
        <v>990</v>
      </c>
      <c r="B386" s="2" t="s">
        <v>990</v>
      </c>
      <c r="C386" s="2" t="s">
        <v>36</v>
      </c>
      <c r="D386" s="2" t="s">
        <v>37</v>
      </c>
      <c r="E386" s="5">
        <v>-30139</v>
      </c>
      <c r="F386" s="3" t="s">
        <v>993</v>
      </c>
      <c r="G386" s="3" t="s">
        <v>629</v>
      </c>
      <c r="H386" s="2" t="s">
        <v>21</v>
      </c>
      <c r="I386" s="2" t="s">
        <v>994</v>
      </c>
      <c r="J386" s="3" t="str">
        <f>HYPERLINK("https://www.boe.es/gazeta/dias/1817/06/24/pdfs/GMD-1817-75.pdf#page=2","Abrir facsímil")</f>
        <v>Abrir facsímil</v>
      </c>
      <c r="K386" s="3" t="s">
        <v>23</v>
      </c>
    </row>
    <row r="387" spans="1:11" ht="42" customHeight="1">
      <c r="A387" s="2" t="s">
        <v>995</v>
      </c>
      <c r="B387" s="2" t="s">
        <v>996</v>
      </c>
      <c r="C387" s="2" t="s">
        <v>43</v>
      </c>
      <c r="D387" s="2" t="s">
        <v>44</v>
      </c>
      <c r="E387" s="5">
        <v>-30265</v>
      </c>
      <c r="F387" s="3" t="s">
        <v>107</v>
      </c>
      <c r="G387" s="3" t="s">
        <v>997</v>
      </c>
      <c r="H387" s="2" t="s">
        <v>21</v>
      </c>
      <c r="I387" s="2" t="s">
        <v>998</v>
      </c>
      <c r="J387" s="3" t="str">
        <f>HYPERLINK("https://www.boe.es/gazeta/dias/1817/02/18/pdfs/GMD-1817-21.pdf#page=5","Abrir facsímil")</f>
        <v>Abrir facsímil</v>
      </c>
      <c r="K387" s="3" t="s">
        <v>23</v>
      </c>
    </row>
    <row r="388" spans="1:11" ht="42" customHeight="1">
      <c r="A388" s="2" t="s">
        <v>999</v>
      </c>
      <c r="B388" s="2" t="s">
        <v>1000</v>
      </c>
      <c r="C388" s="2" t="s">
        <v>36</v>
      </c>
      <c r="D388" s="2" t="s">
        <v>37</v>
      </c>
      <c r="E388" s="5">
        <v>-29957</v>
      </c>
      <c r="F388" s="3" t="s">
        <v>1001</v>
      </c>
      <c r="G388" s="3" t="s">
        <v>20</v>
      </c>
      <c r="H388" s="2" t="s">
        <v>21</v>
      </c>
      <c r="I388" s="2" t="s">
        <v>1002</v>
      </c>
      <c r="J388" s="3" t="str">
        <f>HYPERLINK("https://www.boe.es/gazeta/dias/1817/12/23/pdfs/GMD-1817-153.pdf#page=7","Abrir facsímil")</f>
        <v>Abrir facsímil</v>
      </c>
      <c r="K388" s="3" t="s">
        <v>23</v>
      </c>
    </row>
    <row r="389" spans="1:11" ht="42" customHeight="1">
      <c r="A389" s="2" t="s">
        <v>1003</v>
      </c>
      <c r="B389" s="2" t="s">
        <v>1004</v>
      </c>
      <c r="C389" s="2" t="s">
        <v>55</v>
      </c>
      <c r="D389" s="2" t="s">
        <v>44</v>
      </c>
      <c r="E389" s="5">
        <v>-30146</v>
      </c>
      <c r="F389" s="3" t="s">
        <v>1005</v>
      </c>
      <c r="G389" s="3" t="s">
        <v>1006</v>
      </c>
      <c r="H389" s="2" t="s">
        <v>21</v>
      </c>
      <c r="I389" s="2" t="s">
        <v>1007</v>
      </c>
      <c r="J389" s="3" t="str">
        <f>HYPERLINK("https://www.boe.es/gazeta/dias/1817/06/17/pdfs/GMD-1817-72.pdf#page=8","Abrir facsímil")</f>
        <v>Abrir facsímil</v>
      </c>
      <c r="K389" s="3" t="s">
        <v>23</v>
      </c>
    </row>
    <row r="390" spans="1:11" ht="42" customHeight="1">
      <c r="A390" s="2" t="s">
        <v>1008</v>
      </c>
      <c r="B390" s="2" t="s">
        <v>1009</v>
      </c>
      <c r="C390" s="2" t="s">
        <v>43</v>
      </c>
      <c r="D390" s="2" t="s">
        <v>44</v>
      </c>
      <c r="E390" s="5">
        <v>-29981</v>
      </c>
      <c r="F390" s="3" t="s">
        <v>111</v>
      </c>
      <c r="G390" s="3" t="s">
        <v>112</v>
      </c>
      <c r="H390" s="2" t="s">
        <v>21</v>
      </c>
      <c r="I390" s="2" t="s">
        <v>1010</v>
      </c>
      <c r="J390" s="3" t="str">
        <f>HYPERLINK("https://www.boe.es/gazeta/dias/1817/11/29/pdfs/GMD-1817-143.pdf#page=11","Abrir facsímil")</f>
        <v>Abrir facsímil</v>
      </c>
      <c r="K390" s="3" t="s">
        <v>23</v>
      </c>
    </row>
    <row r="391" spans="1:11" ht="42" customHeight="1">
      <c r="A391" s="2" t="s">
        <v>1011</v>
      </c>
      <c r="B391" s="2" t="s">
        <v>1012</v>
      </c>
      <c r="C391" s="2" t="s">
        <v>17</v>
      </c>
      <c r="D391" s="2" t="s">
        <v>18</v>
      </c>
      <c r="E391" s="5">
        <v>-30100</v>
      </c>
      <c r="F391" s="3" t="s">
        <v>436</v>
      </c>
      <c r="G391" s="3" t="s">
        <v>77</v>
      </c>
      <c r="H391" s="2" t="s">
        <v>21</v>
      </c>
      <c r="I391" s="2" t="s">
        <v>1013</v>
      </c>
      <c r="J391" s="3" t="str">
        <f>HYPERLINK("https://www.boe.es/gazeta/dias/1817/08/02/pdfs/GMD-1817-92.pdf#page=8","Abrir facsímil")</f>
        <v>Abrir facsímil</v>
      </c>
      <c r="K391" s="3" t="s">
        <v>23</v>
      </c>
    </row>
    <row r="392" spans="1:11" ht="42" customHeight="1">
      <c r="A392" s="2" t="s">
        <v>1011</v>
      </c>
      <c r="B392" s="2" t="s">
        <v>1012</v>
      </c>
      <c r="C392" s="2" t="s">
        <v>55</v>
      </c>
      <c r="D392" s="2" t="s">
        <v>44</v>
      </c>
      <c r="E392" s="5">
        <v>-30027</v>
      </c>
      <c r="F392" s="3" t="s">
        <v>173</v>
      </c>
      <c r="G392" s="3" t="s">
        <v>77</v>
      </c>
      <c r="H392" s="2" t="s">
        <v>21</v>
      </c>
      <c r="I392" s="2" t="s">
        <v>1014</v>
      </c>
      <c r="J392" s="3" t="str">
        <f>HYPERLINK("https://www.boe.es/gazeta/dias/1817/10/14/pdfs/GMD-1817-123.pdf#page=8","Abrir facsímil")</f>
        <v>Abrir facsímil</v>
      </c>
      <c r="K392" s="3" t="s">
        <v>23</v>
      </c>
    </row>
    <row r="393" spans="1:11" ht="42" customHeight="1">
      <c r="A393" s="2" t="s">
        <v>1015</v>
      </c>
      <c r="B393" s="2" t="s">
        <v>1016</v>
      </c>
      <c r="C393" s="2" t="s">
        <v>36</v>
      </c>
      <c r="D393" s="2" t="s">
        <v>37</v>
      </c>
      <c r="E393" s="5">
        <v>-30111</v>
      </c>
      <c r="F393" s="3" t="s">
        <v>1017</v>
      </c>
      <c r="G393" s="3" t="s">
        <v>1018</v>
      </c>
      <c r="H393" s="2" t="s">
        <v>21</v>
      </c>
      <c r="I393" s="2" t="s">
        <v>1019</v>
      </c>
      <c r="J393" s="3" t="str">
        <f>HYPERLINK("https://www.boe.es/gazeta/dias/1817/07/22/pdfs/GMD-1817-87.pdf#page=8","Abrir facsímil")</f>
        <v>Abrir facsímil</v>
      </c>
      <c r="K393" s="3" t="s">
        <v>23</v>
      </c>
    </row>
    <row r="394" spans="1:11" ht="42" customHeight="1">
      <c r="A394" s="2" t="s">
        <v>1020</v>
      </c>
      <c r="B394" s="2" t="s">
        <v>1021</v>
      </c>
      <c r="C394" s="2" t="s">
        <v>36</v>
      </c>
      <c r="D394" s="2" t="s">
        <v>37</v>
      </c>
      <c r="E394" s="5">
        <v>-30062</v>
      </c>
      <c r="F394" s="3" t="s">
        <v>444</v>
      </c>
      <c r="G394" s="3" t="s">
        <v>314</v>
      </c>
      <c r="H394" s="2" t="s">
        <v>21</v>
      </c>
      <c r="I394" s="2" t="s">
        <v>1022</v>
      </c>
      <c r="J394" s="3" t="str">
        <f>HYPERLINK("https://www.boe.es/gazeta/dias/1817/09/09/pdfs/GMD-1817-108.pdf#page=10","Abrir facsímil")</f>
        <v>Abrir facsímil</v>
      </c>
      <c r="K394" s="3" t="s">
        <v>23</v>
      </c>
    </row>
    <row r="395" spans="1:11" ht="42" customHeight="1">
      <c r="A395" s="2" t="s">
        <v>1023</v>
      </c>
      <c r="B395" s="2" t="s">
        <v>1024</v>
      </c>
      <c r="C395" s="2" t="s">
        <v>17</v>
      </c>
      <c r="D395" s="2" t="s">
        <v>18</v>
      </c>
      <c r="E395" s="5">
        <v>-30275</v>
      </c>
      <c r="F395" s="3" t="s">
        <v>1025</v>
      </c>
      <c r="G395" s="3" t="s">
        <v>1026</v>
      </c>
      <c r="H395" s="2" t="s">
        <v>21</v>
      </c>
      <c r="I395" s="2" t="s">
        <v>1027</v>
      </c>
      <c r="J395" s="3" t="str">
        <f>HYPERLINK("https://www.boe.es/gazeta/dias/1817/02/08/pdfs/GMD-1817-17.pdf#page=7","Abrir facsímil")</f>
        <v>Abrir facsímil</v>
      </c>
      <c r="K395" s="3" t="s">
        <v>23</v>
      </c>
    </row>
    <row r="396" spans="1:11" ht="42" customHeight="1">
      <c r="A396" s="2" t="s">
        <v>1028</v>
      </c>
      <c r="B396" s="2" t="s">
        <v>1029</v>
      </c>
      <c r="C396" s="2" t="s">
        <v>36</v>
      </c>
      <c r="D396" s="2" t="s">
        <v>37</v>
      </c>
      <c r="E396" s="5">
        <v>-30158</v>
      </c>
      <c r="F396" s="3" t="s">
        <v>305</v>
      </c>
      <c r="G396" s="3" t="s">
        <v>20</v>
      </c>
      <c r="H396" s="2" t="s">
        <v>21</v>
      </c>
      <c r="I396" s="2" t="s">
        <v>1030</v>
      </c>
      <c r="J396" s="3" t="str">
        <f>HYPERLINK("https://www.boe.es/gazeta/dias/1817/06/05/pdfs/GMD-1817-67.pdf#page=7","Abrir facsímil")</f>
        <v>Abrir facsímil</v>
      </c>
      <c r="K396" s="3" t="s">
        <v>23</v>
      </c>
    </row>
    <row r="397" spans="1:11" ht="42" customHeight="1">
      <c r="A397" s="2" t="s">
        <v>1031</v>
      </c>
      <c r="B397" s="2" t="s">
        <v>1032</v>
      </c>
      <c r="C397" s="2" t="s">
        <v>43</v>
      </c>
      <c r="D397" s="2" t="s">
        <v>44</v>
      </c>
      <c r="E397" s="5">
        <v>-30079</v>
      </c>
      <c r="F397" s="3" t="s">
        <v>45</v>
      </c>
      <c r="G397" s="3" t="s">
        <v>39</v>
      </c>
      <c r="H397" s="2" t="s">
        <v>21</v>
      </c>
      <c r="I397" s="2" t="s">
        <v>1033</v>
      </c>
      <c r="J397" s="3" t="str">
        <f>HYPERLINK("https://www.boe.es/gazeta/dias/1817/08/23/pdfs/GMD-1817-101.pdf#page=5","Abrir facsímil")</f>
        <v>Abrir facsímil</v>
      </c>
      <c r="K397" s="3" t="s">
        <v>23</v>
      </c>
    </row>
    <row r="398" spans="1:11" ht="42" customHeight="1">
      <c r="A398" s="2" t="s">
        <v>1034</v>
      </c>
      <c r="B398" s="2" t="s">
        <v>1035</v>
      </c>
      <c r="C398" s="2" t="s">
        <v>36</v>
      </c>
      <c r="D398" s="2" t="s">
        <v>37</v>
      </c>
      <c r="E398" s="5">
        <v>-30193</v>
      </c>
      <c r="F398" s="3" t="s">
        <v>38</v>
      </c>
      <c r="G398" s="3" t="s">
        <v>1036</v>
      </c>
      <c r="H398" s="2" t="s">
        <v>21</v>
      </c>
      <c r="I398" s="2" t="s">
        <v>1037</v>
      </c>
      <c r="J398" s="3" t="str">
        <f>HYPERLINK("https://www.boe.es/gazeta/dias/1817/05/01/pdfs/GMD-1817-52.pdf#page=6","Abrir facsímil")</f>
        <v>Abrir facsímil</v>
      </c>
      <c r="K398" s="3" t="s">
        <v>23</v>
      </c>
    </row>
    <row r="399" spans="1:11" ht="42" customHeight="1">
      <c r="A399" s="2" t="s">
        <v>1034</v>
      </c>
      <c r="B399" s="2" t="s">
        <v>1035</v>
      </c>
      <c r="C399" s="2" t="s">
        <v>36</v>
      </c>
      <c r="D399" s="2" t="s">
        <v>37</v>
      </c>
      <c r="E399" s="5">
        <v>-30123</v>
      </c>
      <c r="F399" s="3" t="s">
        <v>848</v>
      </c>
      <c r="G399" s="3" t="s">
        <v>72</v>
      </c>
      <c r="H399" s="2" t="s">
        <v>21</v>
      </c>
      <c r="I399" s="2" t="s">
        <v>1038</v>
      </c>
      <c r="J399" s="3" t="str">
        <f>HYPERLINK("https://www.boe.es/gazeta/dias/1817/07/10/pdfs/GMD-1817-82.pdf#page=1","Abrir facsímil")</f>
        <v>Abrir facsímil</v>
      </c>
      <c r="K399" s="3" t="s">
        <v>23</v>
      </c>
    </row>
    <row r="400" spans="1:11" ht="42" customHeight="1">
      <c r="A400" s="2" t="s">
        <v>1039</v>
      </c>
      <c r="B400" s="2" t="s">
        <v>1040</v>
      </c>
      <c r="C400" s="2" t="s">
        <v>17</v>
      </c>
      <c r="D400" s="2" t="s">
        <v>18</v>
      </c>
      <c r="E400" s="5">
        <v>-30291</v>
      </c>
      <c r="F400" s="3" t="s">
        <v>1041</v>
      </c>
      <c r="G400" s="3" t="s">
        <v>39</v>
      </c>
      <c r="H400" s="2" t="s">
        <v>21</v>
      </c>
      <c r="I400" s="2" t="s">
        <v>1042</v>
      </c>
      <c r="J400" s="3" t="str">
        <f>HYPERLINK("https://www.boe.es/gazeta/dias/1817/01/23/pdfs/GMD-1817-10.pdf#page=5","Abrir facsímil")</f>
        <v>Abrir facsímil</v>
      </c>
      <c r="K400" s="3" t="s">
        <v>23</v>
      </c>
    </row>
    <row r="401" spans="1:11" ht="42" customHeight="1">
      <c r="A401" s="2" t="s">
        <v>1043</v>
      </c>
      <c r="B401" s="2" t="s">
        <v>1044</v>
      </c>
      <c r="C401" s="2" t="s">
        <v>138</v>
      </c>
      <c r="D401" s="2" t="s">
        <v>44</v>
      </c>
      <c r="E401" s="5">
        <v>-30114</v>
      </c>
      <c r="F401" s="3" t="s">
        <v>500</v>
      </c>
      <c r="G401" s="3" t="s">
        <v>77</v>
      </c>
      <c r="H401" s="2" t="s">
        <v>21</v>
      </c>
      <c r="I401" s="2" t="s">
        <v>1045</v>
      </c>
      <c r="J401" s="3" t="str">
        <f>HYPERLINK("https://www.boe.es/gazeta/dias/1817/07/19/pdfs/GMD-1817-86.pdf#page=8","Abrir facsímil")</f>
        <v>Abrir facsímil</v>
      </c>
      <c r="K401" s="3" t="s">
        <v>23</v>
      </c>
    </row>
    <row r="402" spans="1:11" ht="42" customHeight="1">
      <c r="A402" s="2" t="s">
        <v>1043</v>
      </c>
      <c r="B402" s="2" t="s">
        <v>1044</v>
      </c>
      <c r="C402" s="2" t="s">
        <v>97</v>
      </c>
      <c r="D402" s="2" t="s">
        <v>44</v>
      </c>
      <c r="E402" s="5">
        <v>-30062</v>
      </c>
      <c r="F402" s="3" t="s">
        <v>444</v>
      </c>
      <c r="G402" s="3" t="s">
        <v>112</v>
      </c>
      <c r="H402" s="2" t="s">
        <v>21</v>
      </c>
      <c r="I402" s="2" t="s">
        <v>1046</v>
      </c>
      <c r="J402" s="3" t="str">
        <f>HYPERLINK("https://www.boe.es/gazeta/dias/1817/09/09/pdfs/GMD-1817-108.pdf#page=11","Abrir facsímil")</f>
        <v>Abrir facsímil</v>
      </c>
      <c r="K402" s="3" t="s">
        <v>23</v>
      </c>
    </row>
    <row r="403" spans="1:11" ht="42" customHeight="1">
      <c r="A403" s="2" t="s">
        <v>1047</v>
      </c>
      <c r="B403" s="2" t="s">
        <v>1048</v>
      </c>
      <c r="C403" s="2" t="s">
        <v>17</v>
      </c>
      <c r="D403" s="2" t="s">
        <v>18</v>
      </c>
      <c r="E403" s="5">
        <v>-30282</v>
      </c>
      <c r="F403" s="3" t="s">
        <v>1049</v>
      </c>
      <c r="G403" s="3" t="s">
        <v>144</v>
      </c>
      <c r="H403" s="2" t="s">
        <v>21</v>
      </c>
      <c r="I403" s="2" t="s">
        <v>1050</v>
      </c>
      <c r="J403" s="3" t="str">
        <f>HYPERLINK("https://www.boe.es/gazeta/dias/1817/02/01/pdfs/GMD-1817-14.pdf#page=4","Abrir facsímil")</f>
        <v>Abrir facsímil</v>
      </c>
      <c r="K403" s="3" t="s">
        <v>23</v>
      </c>
    </row>
    <row r="404" spans="1:11" ht="42" customHeight="1">
      <c r="A404" s="2" t="s">
        <v>1051</v>
      </c>
      <c r="B404" s="2" t="s">
        <v>1052</v>
      </c>
      <c r="C404" s="2" t="s">
        <v>36</v>
      </c>
      <c r="D404" s="2" t="s">
        <v>37</v>
      </c>
      <c r="E404" s="5">
        <v>-30139</v>
      </c>
      <c r="F404" s="3" t="s">
        <v>993</v>
      </c>
      <c r="G404" s="3" t="s">
        <v>1053</v>
      </c>
      <c r="H404" s="2" t="s">
        <v>21</v>
      </c>
      <c r="I404" s="2" t="s">
        <v>1054</v>
      </c>
      <c r="J404" s="3" t="str">
        <f>HYPERLINK("https://www.boe.es/gazeta/dias/1817/06/24/pdfs/GMD-1817-75.pdf#page=4","Abrir facsímil")</f>
        <v>Abrir facsímil</v>
      </c>
      <c r="K404" s="3" t="s">
        <v>23</v>
      </c>
    </row>
    <row r="405" spans="1:11" ht="42" customHeight="1">
      <c r="A405" s="2" t="s">
        <v>1055</v>
      </c>
      <c r="B405" s="2" t="s">
        <v>1056</v>
      </c>
      <c r="C405" s="2" t="s">
        <v>36</v>
      </c>
      <c r="D405" s="2" t="s">
        <v>37</v>
      </c>
      <c r="E405" s="5">
        <v>-30118</v>
      </c>
      <c r="F405" s="3" t="s">
        <v>432</v>
      </c>
      <c r="G405" s="3" t="s">
        <v>39</v>
      </c>
      <c r="H405" s="2" t="s">
        <v>21</v>
      </c>
      <c r="I405" s="2" t="s">
        <v>1057</v>
      </c>
      <c r="J405" s="3" t="str">
        <f>HYPERLINK("https://www.boe.es/gazeta/dias/1817/07/15/pdfs/GMD-1817-84.pdf#page=5","Abrir facsímil")</f>
        <v>Abrir facsímil</v>
      </c>
      <c r="K405" s="3" t="s">
        <v>23</v>
      </c>
    </row>
    <row r="406" spans="1:11" ht="42" customHeight="1">
      <c r="A406" s="2" t="s">
        <v>1055</v>
      </c>
      <c r="B406" s="2" t="s">
        <v>1056</v>
      </c>
      <c r="C406" s="2" t="s">
        <v>36</v>
      </c>
      <c r="D406" s="2" t="s">
        <v>37</v>
      </c>
      <c r="E406" s="5">
        <v>-30006</v>
      </c>
      <c r="F406" s="3" t="s">
        <v>210</v>
      </c>
      <c r="G406" s="3" t="s">
        <v>551</v>
      </c>
      <c r="H406" s="2" t="s">
        <v>21</v>
      </c>
      <c r="I406" s="2" t="s">
        <v>1058</v>
      </c>
      <c r="J406" s="3" t="str">
        <f>HYPERLINK("https://www.boe.es/gazeta/dias/1817/11/04/pdfs/GMD-1817-132.pdf#page=3","Abrir facsímil")</f>
        <v>Abrir facsímil</v>
      </c>
      <c r="K406" s="3" t="s">
        <v>23</v>
      </c>
    </row>
    <row r="407" spans="1:11" ht="42" customHeight="1">
      <c r="A407" s="2" t="s">
        <v>1059</v>
      </c>
      <c r="B407" s="2" t="s">
        <v>1059</v>
      </c>
      <c r="C407" s="2" t="s">
        <v>43</v>
      </c>
      <c r="D407" s="2" t="s">
        <v>44</v>
      </c>
      <c r="E407" s="5">
        <v>-30006</v>
      </c>
      <c r="F407" s="3" t="s">
        <v>210</v>
      </c>
      <c r="G407" s="3" t="s">
        <v>863</v>
      </c>
      <c r="H407" s="2" t="s">
        <v>21</v>
      </c>
      <c r="I407" s="2" t="s">
        <v>1060</v>
      </c>
      <c r="J407" s="3" t="str">
        <f>HYPERLINK("https://www.boe.es/gazeta/dias/1817/11/04/pdfs/GMD-1817-132.pdf#page=4","Abrir facsímil")</f>
        <v>Abrir facsímil</v>
      </c>
      <c r="K407" s="3" t="s">
        <v>23</v>
      </c>
    </row>
    <row r="408" spans="1:11" ht="42" customHeight="1">
      <c r="A408" s="2" t="s">
        <v>1059</v>
      </c>
      <c r="B408" s="2" t="s">
        <v>1059</v>
      </c>
      <c r="C408" s="2" t="s">
        <v>43</v>
      </c>
      <c r="D408" s="2" t="s">
        <v>44</v>
      </c>
      <c r="E408" s="5">
        <v>-30006</v>
      </c>
      <c r="F408" s="3" t="s">
        <v>210</v>
      </c>
      <c r="G408" s="3" t="s">
        <v>39</v>
      </c>
      <c r="H408" s="2" t="s">
        <v>21</v>
      </c>
      <c r="I408" s="2" t="s">
        <v>1061</v>
      </c>
      <c r="J408" s="3" t="str">
        <f>HYPERLINK("https://www.boe.es/gazeta/dias/1817/11/04/pdfs/GMD-1817-132.pdf#page=5","Abrir facsímil")</f>
        <v>Abrir facsímil</v>
      </c>
      <c r="K408" s="3" t="s">
        <v>23</v>
      </c>
    </row>
    <row r="409" spans="1:11" ht="42" customHeight="1">
      <c r="A409" s="2" t="s">
        <v>1059</v>
      </c>
      <c r="B409" s="2" t="s">
        <v>1059</v>
      </c>
      <c r="C409" s="2" t="s">
        <v>36</v>
      </c>
      <c r="D409" s="2" t="s">
        <v>37</v>
      </c>
      <c r="E409" s="5">
        <v>-29995</v>
      </c>
      <c r="F409" s="3" t="s">
        <v>514</v>
      </c>
      <c r="G409" s="3" t="s">
        <v>144</v>
      </c>
      <c r="H409" s="2" t="s">
        <v>21</v>
      </c>
      <c r="I409" s="2" t="s">
        <v>1062</v>
      </c>
      <c r="J409" s="3" t="str">
        <f>HYPERLINK("https://www.boe.es/gazeta/dias/1817/11/15/pdfs/GMD-1817-137.pdf#page=4","Abrir facsímil")</f>
        <v>Abrir facsímil</v>
      </c>
      <c r="K409" s="3" t="s">
        <v>23</v>
      </c>
    </row>
    <row r="410" spans="1:11" ht="42" customHeight="1">
      <c r="A410" s="2" t="s">
        <v>1063</v>
      </c>
      <c r="B410" s="2" t="s">
        <v>1064</v>
      </c>
      <c r="C410" s="2" t="s">
        <v>36</v>
      </c>
      <c r="D410" s="2" t="s">
        <v>37</v>
      </c>
      <c r="E410" s="5">
        <v>-30081</v>
      </c>
      <c r="F410" s="3" t="s">
        <v>133</v>
      </c>
      <c r="G410" s="3" t="s">
        <v>1065</v>
      </c>
      <c r="H410" s="2" t="s">
        <v>21</v>
      </c>
      <c r="I410" s="2" t="s">
        <v>1066</v>
      </c>
      <c r="J410" s="3" t="str">
        <f>HYPERLINK("https://www.boe.es/gazeta/dias/1817/08/21/pdfs/GMD-1817-100.pdf#page=4","Abrir facsímil")</f>
        <v>Abrir facsímil</v>
      </c>
      <c r="K410" s="3" t="s">
        <v>23</v>
      </c>
    </row>
    <row r="411" spans="1:11" ht="42" customHeight="1">
      <c r="A411" s="2" t="s">
        <v>1063</v>
      </c>
      <c r="B411" s="2" t="s">
        <v>1064</v>
      </c>
      <c r="C411" s="2" t="s">
        <v>36</v>
      </c>
      <c r="D411" s="2" t="s">
        <v>37</v>
      </c>
      <c r="E411" s="5">
        <v>-30081</v>
      </c>
      <c r="F411" s="3" t="s">
        <v>133</v>
      </c>
      <c r="G411" s="3" t="s">
        <v>77</v>
      </c>
      <c r="H411" s="2" t="s">
        <v>21</v>
      </c>
      <c r="I411" s="2" t="s">
        <v>1067</v>
      </c>
      <c r="J411" s="3" t="str">
        <f>HYPERLINK("https://www.boe.es/gazeta/dias/1817/08/21/pdfs/GMD-1817-100.pdf#page=8","Abrir facsímil")</f>
        <v>Abrir facsímil</v>
      </c>
      <c r="K411" s="3" t="s">
        <v>23</v>
      </c>
    </row>
    <row r="412" spans="1:11" ht="42" customHeight="1">
      <c r="A412" s="2" t="s">
        <v>1068</v>
      </c>
      <c r="B412" s="2" t="s">
        <v>1069</v>
      </c>
      <c r="C412" s="2" t="s">
        <v>36</v>
      </c>
      <c r="D412" s="2" t="s">
        <v>37</v>
      </c>
      <c r="E412" s="5">
        <v>-30030</v>
      </c>
      <c r="F412" s="3" t="s">
        <v>508</v>
      </c>
      <c r="G412" s="3" t="s">
        <v>82</v>
      </c>
      <c r="H412" s="2" t="s">
        <v>27</v>
      </c>
      <c r="I412" s="2" t="s">
        <v>1070</v>
      </c>
      <c r="J412" s="3" t="str">
        <f>HYPERLINK("https://www.boe.es/gazeta/dias/1817/10/11/pdfs/GMD-1817-122.pdf#page=12","Abrir facsímil")</f>
        <v>Abrir facsímil</v>
      </c>
      <c r="K412" s="3" t="s">
        <v>29</v>
      </c>
    </row>
    <row r="413" spans="1:11" ht="42" customHeight="1">
      <c r="A413" s="2" t="s">
        <v>1071</v>
      </c>
      <c r="B413" s="2" t="s">
        <v>1072</v>
      </c>
      <c r="C413" s="2" t="s">
        <v>36</v>
      </c>
      <c r="D413" s="2" t="s">
        <v>37</v>
      </c>
      <c r="E413" s="5">
        <v>-30060</v>
      </c>
      <c r="F413" s="3" t="s">
        <v>446</v>
      </c>
      <c r="G413" s="3" t="s">
        <v>20</v>
      </c>
      <c r="H413" s="2" t="s">
        <v>21</v>
      </c>
      <c r="I413" s="2" t="s">
        <v>1073</v>
      </c>
      <c r="J413" s="3" t="str">
        <f>HYPERLINK("https://www.boe.es/gazeta/dias/1817/09/11/pdfs/GMD-1817-109.pdf#page=7","Abrir facsímil")</f>
        <v>Abrir facsímil</v>
      </c>
      <c r="K413" s="3" t="s">
        <v>23</v>
      </c>
    </row>
    <row r="414" spans="1:11" ht="42" customHeight="1">
      <c r="A414" s="2" t="s">
        <v>1074</v>
      </c>
      <c r="B414" s="2" t="s">
        <v>1075</v>
      </c>
      <c r="C414" s="2" t="s">
        <v>43</v>
      </c>
      <c r="D414" s="2" t="s">
        <v>44</v>
      </c>
      <c r="E414" s="5">
        <v>-30179</v>
      </c>
      <c r="F414" s="3" t="s">
        <v>391</v>
      </c>
      <c r="G414" s="3" t="s">
        <v>20</v>
      </c>
      <c r="H414" s="2" t="s">
        <v>21</v>
      </c>
      <c r="I414" s="2" t="s">
        <v>1076</v>
      </c>
      <c r="J414" s="3" t="str">
        <f>HYPERLINK("https://www.boe.es/gazeta/dias/1817/05/15/pdfs/GMD-1817-58.pdf#page=7","Abrir facsímil")</f>
        <v>Abrir facsímil</v>
      </c>
      <c r="K414" s="3" t="s">
        <v>23</v>
      </c>
    </row>
    <row r="415" spans="1:11" ht="42" customHeight="1">
      <c r="A415" s="2" t="s">
        <v>1077</v>
      </c>
      <c r="B415" s="2" t="s">
        <v>1078</v>
      </c>
      <c r="C415" s="2" t="s">
        <v>43</v>
      </c>
      <c r="D415" s="2" t="s">
        <v>44</v>
      </c>
      <c r="E415" s="5">
        <v>-30261</v>
      </c>
      <c r="F415" s="3" t="s">
        <v>226</v>
      </c>
      <c r="G415" s="3" t="s">
        <v>20</v>
      </c>
      <c r="H415" s="2" t="s">
        <v>21</v>
      </c>
      <c r="I415" s="2" t="s">
        <v>1079</v>
      </c>
      <c r="J415" s="3" t="str">
        <f>HYPERLINK("https://www.boe.es/gazeta/dias/1817/02/22/pdfs/GMD-1817-23.pdf#page=7","Abrir facsímil")</f>
        <v>Abrir facsímil</v>
      </c>
      <c r="K415" s="3" t="s">
        <v>23</v>
      </c>
    </row>
    <row r="416" spans="1:11" ht="42" customHeight="1">
      <c r="A416" s="2" t="s">
        <v>1080</v>
      </c>
      <c r="B416" s="2" t="s">
        <v>1081</v>
      </c>
      <c r="C416" s="2" t="s">
        <v>43</v>
      </c>
      <c r="D416" s="2" t="s">
        <v>44</v>
      </c>
      <c r="E416" s="5">
        <v>-29995</v>
      </c>
      <c r="F416" s="3" t="s">
        <v>514</v>
      </c>
      <c r="G416" s="3" t="s">
        <v>1082</v>
      </c>
      <c r="H416" s="2" t="s">
        <v>21</v>
      </c>
      <c r="I416" s="2" t="s">
        <v>1083</v>
      </c>
      <c r="J416" s="3" t="str">
        <f>HYPERLINK("https://www.boe.es/gazeta/dias/1817/11/15/pdfs/GMD-1817-137.pdf#page=5","Abrir facsímil")</f>
        <v>Abrir facsímil</v>
      </c>
      <c r="K416" s="3" t="s">
        <v>23</v>
      </c>
    </row>
    <row r="417" spans="1:11" ht="42" customHeight="1">
      <c r="A417" s="2" t="s">
        <v>1084</v>
      </c>
      <c r="B417" s="2" t="s">
        <v>1084</v>
      </c>
      <c r="C417" s="2" t="s">
        <v>36</v>
      </c>
      <c r="D417" s="2" t="s">
        <v>37</v>
      </c>
      <c r="E417" s="5">
        <v>-29995</v>
      </c>
      <c r="F417" s="3" t="s">
        <v>514</v>
      </c>
      <c r="G417" s="3" t="s">
        <v>551</v>
      </c>
      <c r="H417" s="2" t="s">
        <v>21</v>
      </c>
      <c r="I417" s="2" t="s">
        <v>1085</v>
      </c>
      <c r="J417" s="3" t="str">
        <f>HYPERLINK("https://www.boe.es/gazeta/dias/1817/11/15/pdfs/GMD-1817-137.pdf#page=3","Abrir facsímil")</f>
        <v>Abrir facsímil</v>
      </c>
      <c r="K417" s="3" t="s">
        <v>23</v>
      </c>
    </row>
    <row r="418" spans="1:11" ht="42" customHeight="1">
      <c r="A418" s="2" t="s">
        <v>1086</v>
      </c>
      <c r="B418" s="2" t="s">
        <v>1087</v>
      </c>
      <c r="C418" s="2" t="s">
        <v>36</v>
      </c>
      <c r="D418" s="2" t="s">
        <v>37</v>
      </c>
      <c r="E418" s="5">
        <v>-30158</v>
      </c>
      <c r="F418" s="3" t="s">
        <v>305</v>
      </c>
      <c r="G418" s="3" t="s">
        <v>144</v>
      </c>
      <c r="H418" s="2" t="s">
        <v>21</v>
      </c>
      <c r="I418" s="2" t="s">
        <v>1088</v>
      </c>
      <c r="J418" s="3" t="str">
        <f>HYPERLINK("https://www.boe.es/gazeta/dias/1817/06/05/pdfs/GMD-1817-67.pdf#page=4","Abrir facsímil")</f>
        <v>Abrir facsímil</v>
      </c>
      <c r="K418" s="3" t="s">
        <v>23</v>
      </c>
    </row>
    <row r="419" spans="1:11" ht="42" customHeight="1">
      <c r="A419" s="2" t="s">
        <v>1086</v>
      </c>
      <c r="B419" s="2" t="s">
        <v>1087</v>
      </c>
      <c r="C419" s="2" t="s">
        <v>36</v>
      </c>
      <c r="D419" s="2" t="s">
        <v>37</v>
      </c>
      <c r="E419" s="5">
        <v>-29995</v>
      </c>
      <c r="F419" s="3" t="s">
        <v>514</v>
      </c>
      <c r="G419" s="3" t="s">
        <v>57</v>
      </c>
      <c r="H419" s="2" t="s">
        <v>21</v>
      </c>
      <c r="I419" s="2" t="s">
        <v>1089</v>
      </c>
      <c r="J419" s="3" t="str">
        <f>HYPERLINK("https://www.boe.es/gazeta/dias/1817/11/15/pdfs/GMD-1817-137.pdf#page=6","Abrir facsímil")</f>
        <v>Abrir facsímil</v>
      </c>
      <c r="K419" s="3" t="s">
        <v>23</v>
      </c>
    </row>
    <row r="420" spans="1:11" ht="42" customHeight="1">
      <c r="A420" s="2" t="s">
        <v>1090</v>
      </c>
      <c r="B420" s="2" t="s">
        <v>1091</v>
      </c>
      <c r="C420" s="2" t="s">
        <v>43</v>
      </c>
      <c r="D420" s="2" t="s">
        <v>44</v>
      </c>
      <c r="E420" s="5">
        <v>-30307</v>
      </c>
      <c r="F420" s="3" t="s">
        <v>67</v>
      </c>
      <c r="G420" s="3" t="s">
        <v>739</v>
      </c>
      <c r="H420" s="2" t="s">
        <v>21</v>
      </c>
      <c r="I420" s="2" t="s">
        <v>1092</v>
      </c>
      <c r="J420" s="3" t="str">
        <f>HYPERLINK("https://www.boe.es/gazeta/dias/1817/01/07/pdfs/GMD-1817-3.pdf#page=6","Abrir facsímil")</f>
        <v>Abrir facsímil</v>
      </c>
      <c r="K420" s="3" t="s">
        <v>23</v>
      </c>
    </row>
    <row r="421" spans="1:11" ht="42" customHeight="1">
      <c r="A421" s="2" t="s">
        <v>1093</v>
      </c>
      <c r="B421" s="2" t="s">
        <v>1094</v>
      </c>
      <c r="C421" s="2" t="s">
        <v>17</v>
      </c>
      <c r="D421" s="2" t="s">
        <v>18</v>
      </c>
      <c r="E421" s="5">
        <v>-29997</v>
      </c>
      <c r="F421" s="3" t="s">
        <v>652</v>
      </c>
      <c r="G421" s="3" t="s">
        <v>1095</v>
      </c>
      <c r="H421" s="2" t="s">
        <v>21</v>
      </c>
      <c r="I421" s="2" t="s">
        <v>1096</v>
      </c>
      <c r="J421" s="3" t="str">
        <f>HYPERLINK("https://www.boe.es/gazeta/dias/1817/11/13/pdfs/GMD-1817-136.pdf#page=10","Abrir facsímil")</f>
        <v>Abrir facsímil</v>
      </c>
      <c r="K421" s="3" t="s">
        <v>23</v>
      </c>
    </row>
    <row r="422" spans="1:11" ht="42" customHeight="1">
      <c r="A422" s="2" t="s">
        <v>1097</v>
      </c>
      <c r="B422" s="2" t="s">
        <v>1097</v>
      </c>
      <c r="C422" s="2" t="s">
        <v>55</v>
      </c>
      <c r="D422" s="2" t="s">
        <v>44</v>
      </c>
      <c r="E422" s="5">
        <v>-30025</v>
      </c>
      <c r="F422" s="3" t="s">
        <v>458</v>
      </c>
      <c r="G422" s="3" t="s">
        <v>77</v>
      </c>
      <c r="H422" s="2" t="s">
        <v>21</v>
      </c>
      <c r="I422" s="2" t="s">
        <v>1098</v>
      </c>
      <c r="J422" s="3" t="str">
        <f>HYPERLINK("https://www.boe.es/gazeta/dias/1817/10/16/pdfs/GMD-1817-124.pdf#page=8","Abrir facsímil")</f>
        <v>Abrir facsímil</v>
      </c>
      <c r="K422" s="3" t="s">
        <v>23</v>
      </c>
    </row>
    <row r="423" spans="1:11" ht="42" customHeight="1">
      <c r="A423" s="2" t="s">
        <v>1099</v>
      </c>
      <c r="B423" s="2" t="s">
        <v>1100</v>
      </c>
      <c r="C423" s="2" t="s">
        <v>36</v>
      </c>
      <c r="D423" s="2" t="s">
        <v>37</v>
      </c>
      <c r="E423" s="5">
        <v>-29974</v>
      </c>
      <c r="F423" s="3" t="s">
        <v>32</v>
      </c>
      <c r="G423" s="3" t="s">
        <v>57</v>
      </c>
      <c r="H423" s="2" t="s">
        <v>21</v>
      </c>
      <c r="I423" s="2" t="s">
        <v>1101</v>
      </c>
      <c r="J423" s="3" t="str">
        <f>HYPERLINK("https://www.boe.es/gazeta/dias/1817/12/06/pdfs/GMD-1817-146.pdf#page=6","Abrir facsímil")</f>
        <v>Abrir facsímil</v>
      </c>
      <c r="K423" s="3" t="s">
        <v>23</v>
      </c>
    </row>
    <row r="424" spans="1:11" ht="42" customHeight="1">
      <c r="A424" s="2" t="s">
        <v>1102</v>
      </c>
      <c r="B424" s="2" t="s">
        <v>1103</v>
      </c>
      <c r="C424" s="2" t="s">
        <v>36</v>
      </c>
      <c r="D424" s="2" t="s">
        <v>37</v>
      </c>
      <c r="E424" s="5">
        <v>-29978</v>
      </c>
      <c r="F424" s="3" t="s">
        <v>478</v>
      </c>
      <c r="G424" s="3" t="s">
        <v>39</v>
      </c>
      <c r="H424" s="2" t="s">
        <v>21</v>
      </c>
      <c r="I424" s="2" t="s">
        <v>1104</v>
      </c>
      <c r="J424" s="3" t="str">
        <f>HYPERLINK("https://www.boe.es/gazeta/dias/1817/12/02/pdfs/GMD-1817-144.pdf#page=5","Abrir facsímil")</f>
        <v>Abrir facsímil</v>
      </c>
      <c r="K424" s="3" t="s">
        <v>23</v>
      </c>
    </row>
    <row r="425" spans="1:11" ht="42" customHeight="1">
      <c r="A425" s="2" t="s">
        <v>1105</v>
      </c>
      <c r="B425" s="2" t="s">
        <v>1106</v>
      </c>
      <c r="C425" s="2" t="s">
        <v>36</v>
      </c>
      <c r="D425" s="2" t="s">
        <v>37</v>
      </c>
      <c r="E425" s="5">
        <v>-29960</v>
      </c>
      <c r="F425" s="3" t="s">
        <v>657</v>
      </c>
      <c r="G425" s="3" t="s">
        <v>144</v>
      </c>
      <c r="H425" s="2" t="s">
        <v>21</v>
      </c>
      <c r="I425" s="2" t="s">
        <v>1107</v>
      </c>
      <c r="J425" s="3" t="str">
        <f>HYPERLINK("https://www.boe.es/gazeta/dias/1817/12/20/pdfs/GMD-1817-152.pdf#page=4","Abrir facsímil")</f>
        <v>Abrir facsímil</v>
      </c>
      <c r="K425" s="3" t="s">
        <v>23</v>
      </c>
    </row>
    <row r="426" spans="1:11" ht="42" customHeight="1">
      <c r="A426" s="2" t="s">
        <v>1108</v>
      </c>
      <c r="B426" s="2" t="s">
        <v>1109</v>
      </c>
      <c r="C426" s="2" t="s">
        <v>43</v>
      </c>
      <c r="D426" s="2" t="s">
        <v>44</v>
      </c>
      <c r="E426" s="5">
        <v>-30249</v>
      </c>
      <c r="F426" s="3" t="s">
        <v>120</v>
      </c>
      <c r="G426" s="3" t="s">
        <v>39</v>
      </c>
      <c r="H426" s="2" t="s">
        <v>27</v>
      </c>
      <c r="I426" s="2" t="s">
        <v>1110</v>
      </c>
      <c r="J426" s="3" t="str">
        <f>HYPERLINK("https://www.boe.es/gazeta/dias/1817/03/06/pdfs/GMD-1817-28.pdf#page=5","Abrir facsímil")</f>
        <v>Abrir facsímil</v>
      </c>
      <c r="K426" s="3" t="s">
        <v>29</v>
      </c>
    </row>
    <row r="427" spans="1:11" ht="42" customHeight="1">
      <c r="A427" s="2" t="s">
        <v>1111</v>
      </c>
      <c r="B427" s="2" t="s">
        <v>1112</v>
      </c>
      <c r="C427" s="2" t="s">
        <v>36</v>
      </c>
      <c r="D427" s="2" t="s">
        <v>37</v>
      </c>
      <c r="E427" s="5">
        <v>-30279</v>
      </c>
      <c r="F427" s="3" t="s">
        <v>1113</v>
      </c>
      <c r="G427" s="3" t="s">
        <v>1114</v>
      </c>
      <c r="H427" s="2" t="s">
        <v>21</v>
      </c>
      <c r="I427" s="2" t="s">
        <v>1115</v>
      </c>
      <c r="J427" s="3" t="str">
        <f>HYPERLINK("https://www.boe.es/gazeta/dias/1817/02/04/pdfs/GMD-1817-15.pdf#page=6","Abrir facsímil")</f>
        <v>Abrir facsímil</v>
      </c>
      <c r="K427" s="3" t="s">
        <v>23</v>
      </c>
    </row>
    <row r="428" spans="1:11" ht="42" customHeight="1">
      <c r="A428" s="2" t="s">
        <v>1116</v>
      </c>
      <c r="B428" s="2" t="s">
        <v>1117</v>
      </c>
      <c r="C428" s="2" t="s">
        <v>36</v>
      </c>
      <c r="D428" s="2" t="s">
        <v>37</v>
      </c>
      <c r="E428" s="5">
        <v>-30160</v>
      </c>
      <c r="F428" s="3" t="s">
        <v>116</v>
      </c>
      <c r="G428" s="3" t="s">
        <v>567</v>
      </c>
      <c r="H428" s="2" t="s">
        <v>21</v>
      </c>
      <c r="I428" s="2" t="s">
        <v>1118</v>
      </c>
      <c r="J428" s="3" t="str">
        <f>HYPERLINK("https://www.boe.es/gazeta/dias/1817/06/03/pdfs/GMD-1817-66.pdf#page=6","Abrir facsímil")</f>
        <v>Abrir facsímil</v>
      </c>
      <c r="K428" s="3" t="s">
        <v>23</v>
      </c>
    </row>
    <row r="429" spans="1:11" ht="42" customHeight="1">
      <c r="A429" s="2" t="s">
        <v>1119</v>
      </c>
      <c r="B429" s="2" t="s">
        <v>1120</v>
      </c>
      <c r="C429" s="2" t="s">
        <v>43</v>
      </c>
      <c r="D429" s="2" t="s">
        <v>44</v>
      </c>
      <c r="E429" s="5">
        <v>-30160</v>
      </c>
      <c r="F429" s="3" t="s">
        <v>116</v>
      </c>
      <c r="G429" s="3" t="s">
        <v>567</v>
      </c>
      <c r="H429" s="2" t="s">
        <v>21</v>
      </c>
      <c r="I429" s="2" t="s">
        <v>1121</v>
      </c>
      <c r="J429" s="3" t="str">
        <f>HYPERLINK("https://www.boe.es/gazeta/dias/1817/06/03/pdfs/GMD-1817-66.pdf#page=6","Abrir facsímil")</f>
        <v>Abrir facsímil</v>
      </c>
      <c r="K429" s="3" t="s">
        <v>23</v>
      </c>
    </row>
    <row r="430" spans="1:11" ht="42" customHeight="1">
      <c r="A430" s="2" t="s">
        <v>1122</v>
      </c>
      <c r="B430" s="2" t="s">
        <v>1123</v>
      </c>
      <c r="C430" s="2" t="s">
        <v>17</v>
      </c>
      <c r="D430" s="2" t="s">
        <v>18</v>
      </c>
      <c r="E430" s="5">
        <v>-30093</v>
      </c>
      <c r="F430" s="3" t="s">
        <v>230</v>
      </c>
      <c r="G430" s="3" t="s">
        <v>20</v>
      </c>
      <c r="H430" s="2" t="s">
        <v>21</v>
      </c>
      <c r="I430" s="2" t="s">
        <v>1124</v>
      </c>
      <c r="J430" s="3" t="str">
        <f>HYPERLINK("https://www.boe.es/gazeta/dias/1817/08/09/pdfs/GMD-1817-95.pdf#page=7","Abrir facsímil")</f>
        <v>Abrir facsímil</v>
      </c>
      <c r="K430" s="3" t="s">
        <v>23</v>
      </c>
    </row>
    <row r="431" spans="1:11" ht="42" customHeight="1">
      <c r="A431" s="2" t="s">
        <v>1125</v>
      </c>
      <c r="B431" s="2" t="s">
        <v>1126</v>
      </c>
      <c r="C431" s="2" t="s">
        <v>43</v>
      </c>
      <c r="D431" s="2" t="s">
        <v>44</v>
      </c>
      <c r="E431" s="5">
        <v>-30261</v>
      </c>
      <c r="F431" s="3" t="s">
        <v>226</v>
      </c>
      <c r="G431" s="3" t="s">
        <v>20</v>
      </c>
      <c r="H431" s="2" t="s">
        <v>21</v>
      </c>
      <c r="I431" s="2" t="s">
        <v>1127</v>
      </c>
      <c r="J431" s="3" t="str">
        <f>HYPERLINK("https://www.boe.es/gazeta/dias/1817/02/22/pdfs/GMD-1817-23.pdf#page=7","Abrir facsímil")</f>
        <v>Abrir facsímil</v>
      </c>
      <c r="K431" s="3" t="s">
        <v>23</v>
      </c>
    </row>
    <row r="432" spans="1:11" ht="42" customHeight="1">
      <c r="A432" s="2" t="s">
        <v>1128</v>
      </c>
      <c r="B432" s="2" t="s">
        <v>1129</v>
      </c>
      <c r="C432" s="2" t="s">
        <v>36</v>
      </c>
      <c r="D432" s="2" t="s">
        <v>37</v>
      </c>
      <c r="E432" s="5">
        <v>-30200</v>
      </c>
      <c r="F432" s="3" t="s">
        <v>725</v>
      </c>
      <c r="G432" s="3" t="s">
        <v>57</v>
      </c>
      <c r="H432" s="2" t="s">
        <v>21</v>
      </c>
      <c r="I432" s="2" t="s">
        <v>1130</v>
      </c>
      <c r="J432" s="3" t="str">
        <f>HYPERLINK("https://www.boe.es/gazeta/dias/1817/04/24/pdfs/GMD-1817-49.pdf#page=6","Abrir facsímil")</f>
        <v>Abrir facsímil</v>
      </c>
      <c r="K432" s="3" t="s">
        <v>23</v>
      </c>
    </row>
    <row r="433" spans="1:11" ht="42" customHeight="1">
      <c r="A433" s="2" t="s">
        <v>1131</v>
      </c>
      <c r="B433" s="2" t="s">
        <v>1131</v>
      </c>
      <c r="C433" s="2" t="s">
        <v>510</v>
      </c>
      <c r="D433" s="2" t="s">
        <v>44</v>
      </c>
      <c r="E433" s="5">
        <v>-30214</v>
      </c>
      <c r="F433" s="3" t="s">
        <v>631</v>
      </c>
      <c r="G433" s="3" t="s">
        <v>1132</v>
      </c>
      <c r="H433" s="2" t="s">
        <v>21</v>
      </c>
      <c r="I433" s="2" t="s">
        <v>1133</v>
      </c>
      <c r="J433" s="3" t="str">
        <f>HYPERLINK("https://www.boe.es/gazeta/dias/1817/04/10/pdfs/GMD-1817-43.pdf#page=5","Abrir facsímil")</f>
        <v>Abrir facsímil</v>
      </c>
      <c r="K433" s="3" t="s">
        <v>23</v>
      </c>
    </row>
    <row r="434" spans="1:11" ht="42" customHeight="1">
      <c r="A434" s="2" t="s">
        <v>1134</v>
      </c>
      <c r="B434" s="2" t="s">
        <v>1135</v>
      </c>
      <c r="C434" s="2" t="s">
        <v>97</v>
      </c>
      <c r="D434" s="2" t="s">
        <v>44</v>
      </c>
      <c r="E434" s="5">
        <v>-30100</v>
      </c>
      <c r="F434" s="3" t="s">
        <v>436</v>
      </c>
      <c r="G434" s="3" t="s">
        <v>77</v>
      </c>
      <c r="H434" s="2" t="s">
        <v>21</v>
      </c>
      <c r="I434" s="2" t="s">
        <v>1136</v>
      </c>
      <c r="J434" s="3" t="str">
        <f>HYPERLINK("https://www.boe.es/gazeta/dias/1817/08/02/pdfs/GMD-1817-92.pdf#page=8","Abrir facsímil")</f>
        <v>Abrir facsímil</v>
      </c>
      <c r="K434" s="3" t="s">
        <v>23</v>
      </c>
    </row>
    <row r="435" spans="1:11" ht="42" customHeight="1">
      <c r="A435" s="2" t="s">
        <v>1137</v>
      </c>
      <c r="B435" s="2" t="s">
        <v>1138</v>
      </c>
      <c r="C435" s="2" t="s">
        <v>97</v>
      </c>
      <c r="D435" s="2" t="s">
        <v>44</v>
      </c>
      <c r="E435" s="5">
        <v>-30207</v>
      </c>
      <c r="F435" s="3" t="s">
        <v>1139</v>
      </c>
      <c r="G435" s="3" t="s">
        <v>1140</v>
      </c>
      <c r="H435" s="2" t="s">
        <v>21</v>
      </c>
      <c r="I435" s="2" t="s">
        <v>1141</v>
      </c>
      <c r="J435" s="3" t="str">
        <f>HYPERLINK("https://www.boe.es/gazeta/dias/1817/04/17/pdfs/GMD-1817-46.pdf#page=8","Abrir facsímil")</f>
        <v>Abrir facsímil</v>
      </c>
      <c r="K435" s="3" t="s">
        <v>23</v>
      </c>
    </row>
    <row r="436" spans="1:11" ht="42" customHeight="1">
      <c r="A436" s="2" t="s">
        <v>1142</v>
      </c>
      <c r="B436" s="2" t="s">
        <v>1143</v>
      </c>
      <c r="C436" s="2" t="s">
        <v>55</v>
      </c>
      <c r="D436" s="2" t="s">
        <v>44</v>
      </c>
      <c r="E436" s="5">
        <v>-30212</v>
      </c>
      <c r="F436" s="3" t="s">
        <v>745</v>
      </c>
      <c r="G436" s="3" t="s">
        <v>77</v>
      </c>
      <c r="H436" s="2" t="s">
        <v>21</v>
      </c>
      <c r="I436" s="2" t="s">
        <v>1144</v>
      </c>
      <c r="J436" s="3" t="str">
        <f>HYPERLINK("https://www.boe.es/gazeta/dias/1817/04/12/pdfs/GMD-1817-44.pdf#page=8","Abrir facsímil")</f>
        <v>Abrir facsímil</v>
      </c>
      <c r="K436" s="3" t="s">
        <v>23</v>
      </c>
    </row>
    <row r="437" spans="1:11" ht="42" customHeight="1">
      <c r="A437" s="2" t="s">
        <v>1142</v>
      </c>
      <c r="B437" s="2" t="s">
        <v>1143</v>
      </c>
      <c r="C437" s="2" t="s">
        <v>55</v>
      </c>
      <c r="D437" s="2" t="s">
        <v>44</v>
      </c>
      <c r="E437" s="5">
        <v>-29964</v>
      </c>
      <c r="F437" s="3" t="s">
        <v>482</v>
      </c>
      <c r="G437" s="3" t="s">
        <v>483</v>
      </c>
      <c r="H437" s="2" t="s">
        <v>21</v>
      </c>
      <c r="I437" s="2" t="s">
        <v>1145</v>
      </c>
      <c r="J437" s="3" t="str">
        <f>HYPERLINK("https://www.boe.es/gazeta/dias/1817/12/16/pdfs/GMD-1817-150.pdf#page=12","Abrir facsímil")</f>
        <v>Abrir facsímil</v>
      </c>
      <c r="K437" s="3" t="s">
        <v>23</v>
      </c>
    </row>
    <row r="438" spans="1:11" ht="42" customHeight="1">
      <c r="A438" s="2" t="s">
        <v>1146</v>
      </c>
      <c r="B438" s="2" t="s">
        <v>1147</v>
      </c>
      <c r="C438" s="2" t="s">
        <v>43</v>
      </c>
      <c r="D438" s="2" t="s">
        <v>44</v>
      </c>
      <c r="E438" s="5">
        <v>-30013</v>
      </c>
      <c r="F438" s="3" t="s">
        <v>464</v>
      </c>
      <c r="G438" s="3" t="s">
        <v>39</v>
      </c>
      <c r="H438" s="2" t="s">
        <v>21</v>
      </c>
      <c r="I438" s="2" t="s">
        <v>1148</v>
      </c>
      <c r="J438" s="3" t="str">
        <f>HYPERLINK("https://www.boe.es/gazeta/dias/1817/10/28/pdfs/GMD-1817-129.pdf#page=5","Abrir facsímil")</f>
        <v>Abrir facsímil</v>
      </c>
      <c r="K438" s="3" t="s">
        <v>23</v>
      </c>
    </row>
    <row r="439" spans="1:11" ht="42" customHeight="1">
      <c r="A439" s="2" t="s">
        <v>1149</v>
      </c>
      <c r="B439" s="2" t="s">
        <v>1149</v>
      </c>
      <c r="C439" s="2" t="s">
        <v>36</v>
      </c>
      <c r="D439" s="2" t="s">
        <v>37</v>
      </c>
      <c r="E439" s="5">
        <v>-30062</v>
      </c>
      <c r="F439" s="3" t="s">
        <v>444</v>
      </c>
      <c r="G439" s="3" t="s">
        <v>629</v>
      </c>
      <c r="H439" s="2" t="s">
        <v>21</v>
      </c>
      <c r="I439" s="2" t="s">
        <v>1150</v>
      </c>
      <c r="J439" s="3" t="str">
        <f>HYPERLINK("https://www.boe.es/gazeta/dias/1817/09/09/pdfs/GMD-1817-108.pdf#page=2","Abrir facsímil")</f>
        <v>Abrir facsímil</v>
      </c>
      <c r="K439" s="3" t="s">
        <v>23</v>
      </c>
    </row>
    <row r="440" spans="1:11" ht="42" customHeight="1">
      <c r="A440" s="2" t="s">
        <v>1149</v>
      </c>
      <c r="B440" s="2" t="s">
        <v>1149</v>
      </c>
      <c r="C440" s="2" t="s">
        <v>36</v>
      </c>
      <c r="D440" s="2" t="s">
        <v>37</v>
      </c>
      <c r="E440" s="5">
        <v>-30041</v>
      </c>
      <c r="F440" s="3" t="s">
        <v>260</v>
      </c>
      <c r="G440" s="3" t="s">
        <v>1151</v>
      </c>
      <c r="H440" s="2" t="s">
        <v>21</v>
      </c>
      <c r="I440" s="2" t="s">
        <v>1152</v>
      </c>
      <c r="J440" s="3" t="str">
        <f>HYPERLINK("https://www.boe.es/gazeta/dias/1817/09/30/pdfs/GMD-1817-117.pdf#page=4","Abrir facsímil")</f>
        <v>Abrir facsímil</v>
      </c>
      <c r="K440" s="3" t="s">
        <v>23</v>
      </c>
    </row>
    <row r="441" spans="1:11" ht="42" customHeight="1">
      <c r="A441" s="2" t="s">
        <v>1153</v>
      </c>
      <c r="B441" s="2" t="s">
        <v>1154</v>
      </c>
      <c r="C441" s="2" t="s">
        <v>36</v>
      </c>
      <c r="D441" s="2" t="s">
        <v>37</v>
      </c>
      <c r="E441" s="5">
        <v>-30125</v>
      </c>
      <c r="F441" s="3" t="s">
        <v>102</v>
      </c>
      <c r="G441" s="3" t="s">
        <v>112</v>
      </c>
      <c r="H441" s="2" t="s">
        <v>21</v>
      </c>
      <c r="I441" s="2" t="s">
        <v>1155</v>
      </c>
      <c r="J441" s="3" t="str">
        <f>HYPERLINK("https://www.boe.es/gazeta/dias/1817/07/08/pdfs/GMD-1817-81.pdf#page=11","Abrir facsímil")</f>
        <v>Abrir facsímil</v>
      </c>
      <c r="K441" s="3" t="s">
        <v>23</v>
      </c>
    </row>
    <row r="442" spans="1:11" ht="42" customHeight="1">
      <c r="A442" s="2" t="s">
        <v>1156</v>
      </c>
      <c r="B442" s="2" t="s">
        <v>1157</v>
      </c>
      <c r="C442" s="2" t="s">
        <v>138</v>
      </c>
      <c r="D442" s="2" t="s">
        <v>44</v>
      </c>
      <c r="E442" s="5">
        <v>-30307</v>
      </c>
      <c r="F442" s="3" t="s">
        <v>67</v>
      </c>
      <c r="G442" s="3" t="s">
        <v>739</v>
      </c>
      <c r="H442" s="2" t="s">
        <v>21</v>
      </c>
      <c r="I442" s="2" t="s">
        <v>1158</v>
      </c>
      <c r="J442" s="3" t="str">
        <f>HYPERLINK("https://www.boe.es/gazeta/dias/1817/01/07/pdfs/GMD-1817-3.pdf#page=6","Abrir facsímil")</f>
        <v>Abrir facsímil</v>
      </c>
      <c r="K442" s="3" t="s">
        <v>23</v>
      </c>
    </row>
    <row r="443" spans="1:11" ht="42" customHeight="1">
      <c r="A443" s="2" t="s">
        <v>1156</v>
      </c>
      <c r="B443" s="2" t="s">
        <v>1157</v>
      </c>
      <c r="C443" s="2" t="s">
        <v>43</v>
      </c>
      <c r="D443" s="2" t="s">
        <v>44</v>
      </c>
      <c r="E443" s="5">
        <v>-30270</v>
      </c>
      <c r="F443" s="3" t="s">
        <v>341</v>
      </c>
      <c r="G443" s="3" t="s">
        <v>57</v>
      </c>
      <c r="H443" s="2" t="s">
        <v>21</v>
      </c>
      <c r="I443" s="2" t="s">
        <v>1159</v>
      </c>
      <c r="J443" s="3" t="str">
        <f>HYPERLINK("https://www.boe.es/gazeta/dias/1817/02/13/pdfs/GMD-1817-19.pdf#page=6","Abrir facsímil")</f>
        <v>Abrir facsímil</v>
      </c>
      <c r="K443" s="3" t="s">
        <v>23</v>
      </c>
    </row>
    <row r="444" spans="1:11" ht="42" customHeight="1">
      <c r="A444" s="2" t="s">
        <v>1156</v>
      </c>
      <c r="B444" s="2" t="s">
        <v>1157</v>
      </c>
      <c r="C444" s="2" t="s">
        <v>43</v>
      </c>
      <c r="D444" s="2" t="s">
        <v>44</v>
      </c>
      <c r="E444" s="5">
        <v>-30268</v>
      </c>
      <c r="F444" s="3" t="s">
        <v>1160</v>
      </c>
      <c r="G444" s="3" t="s">
        <v>57</v>
      </c>
      <c r="H444" s="2" t="s">
        <v>21</v>
      </c>
      <c r="I444" s="2" t="s">
        <v>1161</v>
      </c>
      <c r="J444" s="3" t="str">
        <f>HYPERLINK("https://www.boe.es/gazeta/dias/1817/02/15/pdfs/GMD-1817-20.pdf#page=6","Abrir facsímil")</f>
        <v>Abrir facsímil</v>
      </c>
      <c r="K444" s="3" t="s">
        <v>23</v>
      </c>
    </row>
    <row r="445" spans="1:11" ht="42" customHeight="1">
      <c r="A445" s="2" t="s">
        <v>1156</v>
      </c>
      <c r="B445" s="2" t="s">
        <v>1157</v>
      </c>
      <c r="C445" s="2" t="s">
        <v>43</v>
      </c>
      <c r="D445" s="2" t="s">
        <v>44</v>
      </c>
      <c r="E445" s="5">
        <v>-30237</v>
      </c>
      <c r="F445" s="3" t="s">
        <v>56</v>
      </c>
      <c r="G445" s="3" t="s">
        <v>144</v>
      </c>
      <c r="H445" s="2" t="s">
        <v>21</v>
      </c>
      <c r="I445" s="2" t="s">
        <v>1162</v>
      </c>
      <c r="J445" s="3" t="str">
        <f>HYPERLINK("https://www.boe.es/gazeta/dias/1817/03/18/pdfs/GMD-1817-33.pdf#page=4","Abrir facsímil")</f>
        <v>Abrir facsímil</v>
      </c>
      <c r="K445" s="3" t="s">
        <v>23</v>
      </c>
    </row>
    <row r="446" spans="1:11" ht="42" customHeight="1">
      <c r="A446" s="2" t="s">
        <v>1156</v>
      </c>
      <c r="B446" s="2" t="s">
        <v>1157</v>
      </c>
      <c r="C446" s="2" t="s">
        <v>17</v>
      </c>
      <c r="D446" s="2" t="s">
        <v>18</v>
      </c>
      <c r="E446" s="5">
        <v>-30195</v>
      </c>
      <c r="F446" s="3" t="s">
        <v>1163</v>
      </c>
      <c r="G446" s="3" t="s">
        <v>144</v>
      </c>
      <c r="H446" s="2" t="s">
        <v>21</v>
      </c>
      <c r="I446" s="2" t="s">
        <v>1164</v>
      </c>
      <c r="J446" s="3" t="str">
        <f>HYPERLINK("https://www.boe.es/gazeta/dias/1817/04/29/pdfs/GMD-1817-51.pdf#page=4","Abrir facsímil")</f>
        <v>Abrir facsímil</v>
      </c>
      <c r="K446" s="3" t="s">
        <v>23</v>
      </c>
    </row>
    <row r="447" spans="1:11" ht="42" customHeight="1">
      <c r="A447" s="2" t="s">
        <v>1156</v>
      </c>
      <c r="B447" s="2" t="s">
        <v>1157</v>
      </c>
      <c r="C447" s="2" t="s">
        <v>36</v>
      </c>
      <c r="D447" s="2" t="s">
        <v>37</v>
      </c>
      <c r="E447" s="5">
        <v>-30030</v>
      </c>
      <c r="F447" s="3" t="s">
        <v>508</v>
      </c>
      <c r="G447" s="3" t="s">
        <v>144</v>
      </c>
      <c r="H447" s="2" t="s">
        <v>21</v>
      </c>
      <c r="I447" s="2" t="s">
        <v>1165</v>
      </c>
      <c r="J447" s="3" t="str">
        <f>HYPERLINK("https://www.boe.es/gazeta/dias/1817/10/11/pdfs/GMD-1817-122.pdf#page=4","Abrir facsímil")</f>
        <v>Abrir facsímil</v>
      </c>
      <c r="K447" s="3" t="s">
        <v>23</v>
      </c>
    </row>
    <row r="448" spans="1:11" ht="42" customHeight="1">
      <c r="A448" s="2" t="s">
        <v>1156</v>
      </c>
      <c r="B448" s="2" t="s">
        <v>1157</v>
      </c>
      <c r="C448" s="2" t="s">
        <v>138</v>
      </c>
      <c r="D448" s="2" t="s">
        <v>44</v>
      </c>
      <c r="E448" s="5">
        <v>-29976</v>
      </c>
      <c r="F448" s="3" t="s">
        <v>81</v>
      </c>
      <c r="G448" s="3" t="s">
        <v>77</v>
      </c>
      <c r="H448" s="2" t="s">
        <v>21</v>
      </c>
      <c r="I448" s="2" t="s">
        <v>1166</v>
      </c>
      <c r="J448" s="3" t="str">
        <f>HYPERLINK("https://www.boe.es/gazeta/dias/1817/12/04/pdfs/GMD-1817-145.pdf#page=8","Abrir facsímil")</f>
        <v>Abrir facsímil</v>
      </c>
      <c r="K448" s="3" t="s">
        <v>23</v>
      </c>
    </row>
    <row r="449" spans="1:11" ht="42" customHeight="1">
      <c r="A449" s="2" t="s">
        <v>1156</v>
      </c>
      <c r="B449" s="2" t="s">
        <v>1157</v>
      </c>
      <c r="C449" s="2" t="s">
        <v>17</v>
      </c>
      <c r="D449" s="2" t="s">
        <v>18</v>
      </c>
      <c r="E449" s="5">
        <v>-29964</v>
      </c>
      <c r="F449" s="3" t="s">
        <v>482</v>
      </c>
      <c r="G449" s="3" t="s">
        <v>77</v>
      </c>
      <c r="H449" s="2" t="s">
        <v>21</v>
      </c>
      <c r="I449" s="2" t="s">
        <v>1167</v>
      </c>
      <c r="J449" s="3" t="str">
        <f>HYPERLINK("https://www.boe.es/gazeta/dias/1817/12/16/pdfs/GMD-1817-150.pdf#page=8","Abrir facsímil")</f>
        <v>Abrir facsímil</v>
      </c>
      <c r="K449" s="3" t="s">
        <v>23</v>
      </c>
    </row>
    <row r="450" spans="1:11" ht="42" customHeight="1">
      <c r="A450" s="2" t="s">
        <v>1168</v>
      </c>
      <c r="B450" s="2" t="s">
        <v>1169</v>
      </c>
      <c r="C450" s="2" t="s">
        <v>97</v>
      </c>
      <c r="D450" s="2" t="s">
        <v>44</v>
      </c>
      <c r="E450" s="5">
        <v>-30118</v>
      </c>
      <c r="F450" s="3" t="s">
        <v>432</v>
      </c>
      <c r="G450" s="3" t="s">
        <v>433</v>
      </c>
      <c r="H450" s="2" t="s">
        <v>21</v>
      </c>
      <c r="I450" s="2" t="s">
        <v>1170</v>
      </c>
      <c r="J450" s="3" t="str">
        <f>HYPERLINK("https://www.boe.es/gazeta/dias/1817/07/15/pdfs/GMD-1817-84.pdf#page=8","Abrir facsímil")</f>
        <v>Abrir facsímil</v>
      </c>
      <c r="K450" s="3" t="s">
        <v>23</v>
      </c>
    </row>
    <row r="451" spans="1:11" ht="42" customHeight="1">
      <c r="A451" s="2" t="s">
        <v>1171</v>
      </c>
      <c r="B451" s="2" t="s">
        <v>1172</v>
      </c>
      <c r="C451" s="2" t="s">
        <v>55</v>
      </c>
      <c r="D451" s="2" t="s">
        <v>44</v>
      </c>
      <c r="E451" s="5">
        <v>-30076</v>
      </c>
      <c r="F451" s="3" t="s">
        <v>439</v>
      </c>
      <c r="G451" s="3" t="s">
        <v>77</v>
      </c>
      <c r="H451" s="2" t="s">
        <v>21</v>
      </c>
      <c r="I451" s="2" t="s">
        <v>1173</v>
      </c>
      <c r="J451" s="3" t="str">
        <f>HYPERLINK("https://www.boe.es/gazeta/dias/1817/08/26/pdfs/GMD-1817-102.pdf#page=8","Abrir facsímil")</f>
        <v>Abrir facsímil</v>
      </c>
      <c r="K451" s="3" t="s">
        <v>23</v>
      </c>
    </row>
    <row r="452" spans="1:11" ht="42" customHeight="1">
      <c r="A452" s="2" t="s">
        <v>1174</v>
      </c>
      <c r="B452" s="2" t="s">
        <v>1175</v>
      </c>
      <c r="C452" s="2" t="s">
        <v>36</v>
      </c>
      <c r="D452" s="2" t="s">
        <v>37</v>
      </c>
      <c r="E452" s="5">
        <v>-30109</v>
      </c>
      <c r="F452" s="3" t="s">
        <v>205</v>
      </c>
      <c r="G452" s="3" t="s">
        <v>206</v>
      </c>
      <c r="H452" s="2" t="s">
        <v>21</v>
      </c>
      <c r="I452" s="2" t="s">
        <v>1176</v>
      </c>
      <c r="J452" s="3" t="str">
        <f>HYPERLINK("https://www.boe.es/gazeta/dias/1817/07/24/pdfs/GMD-1817-88.pdf#page=16","Abrir facsímil")</f>
        <v>Abrir facsímil</v>
      </c>
      <c r="K452" s="3" t="s">
        <v>23</v>
      </c>
    </row>
    <row r="453" spans="1:11" ht="42" customHeight="1">
      <c r="A453" s="2" t="s">
        <v>1177</v>
      </c>
      <c r="B453" s="2" t="s">
        <v>1178</v>
      </c>
      <c r="C453" s="2" t="s">
        <v>36</v>
      </c>
      <c r="D453" s="2" t="s">
        <v>37</v>
      </c>
      <c r="E453" s="5">
        <v>-30307</v>
      </c>
      <c r="F453" s="3" t="s">
        <v>67</v>
      </c>
      <c r="G453" s="3" t="s">
        <v>1179</v>
      </c>
      <c r="H453" s="2" t="s">
        <v>21</v>
      </c>
      <c r="I453" s="2" t="s">
        <v>1180</v>
      </c>
      <c r="J453" s="3" t="str">
        <f>HYPERLINK("https://www.boe.es/gazeta/dias/1817/01/07/pdfs/GMD-1817-3.pdf#page=7","Abrir facsímil")</f>
        <v>Abrir facsímil</v>
      </c>
      <c r="K453" s="3" t="s">
        <v>23</v>
      </c>
    </row>
    <row r="454" spans="1:11" ht="42" customHeight="1">
      <c r="A454" s="2" t="s">
        <v>1181</v>
      </c>
      <c r="B454" s="2" t="s">
        <v>1182</v>
      </c>
      <c r="C454" s="2" t="s">
        <v>17</v>
      </c>
      <c r="D454" s="2" t="s">
        <v>18</v>
      </c>
      <c r="E454" s="5">
        <v>-30132</v>
      </c>
      <c r="F454" s="3" t="s">
        <v>718</v>
      </c>
      <c r="G454" s="3" t="s">
        <v>20</v>
      </c>
      <c r="H454" s="2" t="s">
        <v>21</v>
      </c>
      <c r="I454" s="2" t="s">
        <v>1183</v>
      </c>
      <c r="J454" s="3" t="str">
        <f>HYPERLINK("https://www.boe.es/gazeta/dias/1817/07/01/pdfs/GMD-1817-78.pdf#page=7","Abrir facsímil")</f>
        <v>Abrir facsímil</v>
      </c>
      <c r="K454" s="3" t="s">
        <v>23</v>
      </c>
    </row>
    <row r="455" spans="1:11" ht="42" customHeight="1">
      <c r="A455" s="2" t="s">
        <v>1184</v>
      </c>
      <c r="B455" s="2" t="s">
        <v>1184</v>
      </c>
      <c r="C455" s="2" t="s">
        <v>138</v>
      </c>
      <c r="D455" s="2" t="s">
        <v>44</v>
      </c>
      <c r="E455" s="5">
        <v>-29960</v>
      </c>
      <c r="F455" s="3" t="s">
        <v>657</v>
      </c>
      <c r="G455" s="3" t="s">
        <v>39</v>
      </c>
      <c r="H455" s="2" t="s">
        <v>21</v>
      </c>
      <c r="I455" s="2" t="s">
        <v>1185</v>
      </c>
      <c r="J455" s="3" t="str">
        <f>HYPERLINK("https://www.boe.es/gazeta/dias/1817/12/20/pdfs/GMD-1817-152.pdf#page=5","Abrir facsímil")</f>
        <v>Abrir facsímil</v>
      </c>
      <c r="K455" s="3" t="s">
        <v>23</v>
      </c>
    </row>
    <row r="456" spans="1:11" ht="42" customHeight="1">
      <c r="A456" s="2" t="s">
        <v>1186</v>
      </c>
      <c r="B456" s="2" t="s">
        <v>1186</v>
      </c>
      <c r="C456" s="2" t="s">
        <v>43</v>
      </c>
      <c r="D456" s="2" t="s">
        <v>44</v>
      </c>
      <c r="E456" s="5">
        <v>-29960</v>
      </c>
      <c r="F456" s="3" t="s">
        <v>657</v>
      </c>
      <c r="G456" s="3" t="s">
        <v>144</v>
      </c>
      <c r="H456" s="2" t="s">
        <v>21</v>
      </c>
      <c r="I456" s="2" t="s">
        <v>1187</v>
      </c>
      <c r="J456" s="3" t="str">
        <f>HYPERLINK("https://www.boe.es/gazeta/dias/1817/12/20/pdfs/GMD-1817-152.pdf#page=4","Abrir facsímil")</f>
        <v>Abrir facsímil</v>
      </c>
      <c r="K456" s="3" t="s">
        <v>23</v>
      </c>
    </row>
    <row r="457" spans="1:11" ht="42" customHeight="1">
      <c r="A457" s="2" t="s">
        <v>1186</v>
      </c>
      <c r="B457" s="2" t="s">
        <v>1186</v>
      </c>
      <c r="C457" s="2" t="s">
        <v>36</v>
      </c>
      <c r="D457" s="2" t="s">
        <v>37</v>
      </c>
      <c r="E457" s="5">
        <v>-29960</v>
      </c>
      <c r="F457" s="3" t="s">
        <v>657</v>
      </c>
      <c r="G457" s="3" t="s">
        <v>39</v>
      </c>
      <c r="H457" s="2" t="s">
        <v>21</v>
      </c>
      <c r="I457" s="2" t="s">
        <v>1188</v>
      </c>
      <c r="J457" s="3" t="str">
        <f>HYPERLINK("https://www.boe.es/gazeta/dias/1817/12/20/pdfs/GMD-1817-152.pdf#page=5","Abrir facsímil")</f>
        <v>Abrir facsímil</v>
      </c>
      <c r="K457" s="3" t="s">
        <v>23</v>
      </c>
    </row>
    <row r="458" spans="1:11" ht="42" customHeight="1">
      <c r="A458" s="2" t="s">
        <v>1189</v>
      </c>
      <c r="B458" s="2" t="s">
        <v>1190</v>
      </c>
      <c r="C458" s="2" t="s">
        <v>36</v>
      </c>
      <c r="D458" s="2" t="s">
        <v>37</v>
      </c>
      <c r="E458" s="5">
        <v>-29960</v>
      </c>
      <c r="F458" s="3" t="s">
        <v>657</v>
      </c>
      <c r="G458" s="3" t="s">
        <v>144</v>
      </c>
      <c r="H458" s="2" t="s">
        <v>21</v>
      </c>
      <c r="I458" s="2" t="s">
        <v>1191</v>
      </c>
      <c r="J458" s="3" t="str">
        <f>HYPERLINK("https://www.boe.es/gazeta/dias/1817/12/20/pdfs/GMD-1817-152.pdf#page=4","Abrir facsímil")</f>
        <v>Abrir facsímil</v>
      </c>
      <c r="K458" s="3" t="s">
        <v>23</v>
      </c>
    </row>
    <row r="459" spans="1:11" ht="42" customHeight="1">
      <c r="A459" s="2" t="s">
        <v>1192</v>
      </c>
      <c r="B459" s="2" t="s">
        <v>1193</v>
      </c>
      <c r="C459" s="2" t="s">
        <v>36</v>
      </c>
      <c r="D459" s="2" t="s">
        <v>37</v>
      </c>
      <c r="E459" s="5">
        <v>-30081</v>
      </c>
      <c r="F459" s="3" t="s">
        <v>133</v>
      </c>
      <c r="G459" s="3" t="s">
        <v>20</v>
      </c>
      <c r="H459" s="2" t="s">
        <v>21</v>
      </c>
      <c r="I459" s="2" t="s">
        <v>1194</v>
      </c>
      <c r="J459" s="3" t="str">
        <f>HYPERLINK("https://www.boe.es/gazeta/dias/1817/08/21/pdfs/GMD-1817-100.pdf#page=7","Abrir facsímil")</f>
        <v>Abrir facsímil</v>
      </c>
      <c r="K459" s="3" t="s">
        <v>23</v>
      </c>
    </row>
    <row r="460" spans="1:11" ht="42" customHeight="1">
      <c r="A460" s="2" t="s">
        <v>1195</v>
      </c>
      <c r="B460" s="2" t="s">
        <v>1196</v>
      </c>
      <c r="C460" s="2" t="s">
        <v>36</v>
      </c>
      <c r="D460" s="2" t="s">
        <v>37</v>
      </c>
      <c r="E460" s="5">
        <v>-30027</v>
      </c>
      <c r="F460" s="3" t="s">
        <v>173</v>
      </c>
      <c r="G460" s="3" t="s">
        <v>708</v>
      </c>
      <c r="H460" s="2" t="s">
        <v>21</v>
      </c>
      <c r="I460" s="2" t="s">
        <v>1197</v>
      </c>
      <c r="J460" s="3" t="str">
        <f>HYPERLINK("https://www.boe.es/gazeta/dias/1817/10/14/pdfs/GMD-1817-123.pdf#page=6","Abrir facsímil")</f>
        <v>Abrir facsímil</v>
      </c>
      <c r="K460" s="3" t="s">
        <v>23</v>
      </c>
    </row>
    <row r="461" spans="1:11" ht="42" customHeight="1">
      <c r="A461" s="2" t="s">
        <v>1198</v>
      </c>
      <c r="B461" s="2" t="s">
        <v>1198</v>
      </c>
      <c r="C461" s="2" t="s">
        <v>43</v>
      </c>
      <c r="D461" s="2" t="s">
        <v>44</v>
      </c>
      <c r="E461" s="5">
        <v>-30207</v>
      </c>
      <c r="F461" s="3" t="s">
        <v>1139</v>
      </c>
      <c r="G461" s="3" t="s">
        <v>629</v>
      </c>
      <c r="H461" s="2" t="s">
        <v>21</v>
      </c>
      <c r="I461" s="2" t="s">
        <v>1199</v>
      </c>
      <c r="J461" s="3" t="str">
        <f>HYPERLINK("https://www.boe.es/gazeta/dias/1817/04/17/pdfs/GMD-1817-46.pdf#page=2","Abrir facsímil")</f>
        <v>Abrir facsímil</v>
      </c>
      <c r="K461" s="3" t="s">
        <v>23</v>
      </c>
    </row>
    <row r="462" spans="1:11" ht="42" customHeight="1">
      <c r="A462" s="2" t="s">
        <v>1200</v>
      </c>
      <c r="B462" s="2" t="s">
        <v>1201</v>
      </c>
      <c r="C462" s="2" t="s">
        <v>97</v>
      </c>
      <c r="D462" s="2" t="s">
        <v>44</v>
      </c>
      <c r="E462" s="5">
        <v>-30025</v>
      </c>
      <c r="F462" s="3" t="s">
        <v>458</v>
      </c>
      <c r="G462" s="3" t="s">
        <v>77</v>
      </c>
      <c r="H462" s="2" t="s">
        <v>21</v>
      </c>
      <c r="I462" s="2" t="s">
        <v>1202</v>
      </c>
      <c r="J462" s="3" t="str">
        <f>HYPERLINK("https://www.boe.es/gazeta/dias/1817/10/16/pdfs/GMD-1817-124.pdf#page=8","Abrir facsímil")</f>
        <v>Abrir facsímil</v>
      </c>
      <c r="K462" s="3" t="s">
        <v>23</v>
      </c>
    </row>
    <row r="463" spans="1:11" ht="42" customHeight="1">
      <c r="A463" s="2" t="s">
        <v>1203</v>
      </c>
      <c r="B463" s="2" t="s">
        <v>1203</v>
      </c>
      <c r="C463" s="2" t="s">
        <v>97</v>
      </c>
      <c r="D463" s="2" t="s">
        <v>44</v>
      </c>
      <c r="E463" s="5">
        <v>-30216</v>
      </c>
      <c r="F463" s="3" t="s">
        <v>344</v>
      </c>
      <c r="G463" s="3" t="s">
        <v>77</v>
      </c>
      <c r="H463" s="2" t="s">
        <v>21</v>
      </c>
      <c r="I463" s="2" t="s">
        <v>1204</v>
      </c>
      <c r="J463" s="3" t="str">
        <f>HYPERLINK("https://www.boe.es/gazeta/dias/1817/04/08/pdfs/GMD-1817-42.pdf#page=8","Abrir facsímil")</f>
        <v>Abrir facsímil</v>
      </c>
      <c r="K463" s="3" t="s">
        <v>23</v>
      </c>
    </row>
    <row r="464" spans="1:11" ht="42" customHeight="1">
      <c r="A464" s="2" t="s">
        <v>1205</v>
      </c>
      <c r="B464" s="2" t="s">
        <v>1205</v>
      </c>
      <c r="C464" s="2" t="s">
        <v>43</v>
      </c>
      <c r="D464" s="2" t="s">
        <v>44</v>
      </c>
      <c r="E464" s="5">
        <v>-30207</v>
      </c>
      <c r="F464" s="3" t="s">
        <v>1139</v>
      </c>
      <c r="G464" s="3" t="s">
        <v>629</v>
      </c>
      <c r="H464" s="2" t="s">
        <v>21</v>
      </c>
      <c r="I464" s="2" t="s">
        <v>1206</v>
      </c>
      <c r="J464" s="3" t="str">
        <f>HYPERLINK("https://www.boe.es/gazeta/dias/1817/04/17/pdfs/GMD-1817-46.pdf#page=2","Abrir facsímil")</f>
        <v>Abrir facsímil</v>
      </c>
      <c r="K464" s="3" t="s">
        <v>23</v>
      </c>
    </row>
    <row r="465" spans="1:11" ht="42" customHeight="1">
      <c r="A465" s="2" t="s">
        <v>1207</v>
      </c>
      <c r="B465" s="2" t="s">
        <v>1208</v>
      </c>
      <c r="C465" s="2" t="s">
        <v>36</v>
      </c>
      <c r="D465" s="2" t="s">
        <v>37</v>
      </c>
      <c r="E465" s="5">
        <v>-30275</v>
      </c>
      <c r="F465" s="3" t="s">
        <v>1025</v>
      </c>
      <c r="G465" s="3" t="s">
        <v>77</v>
      </c>
      <c r="H465" s="2" t="s">
        <v>21</v>
      </c>
      <c r="I465" s="2" t="s">
        <v>1209</v>
      </c>
      <c r="J465" s="3" t="str">
        <f>HYPERLINK("https://www.boe.es/gazeta/dias/1817/02/08/pdfs/GMD-1817-17.pdf#page=8","Abrir facsímil")</f>
        <v>Abrir facsímil</v>
      </c>
      <c r="K465" s="3" t="s">
        <v>23</v>
      </c>
    </row>
    <row r="466" spans="1:11" ht="42" customHeight="1">
      <c r="A466" s="2" t="s">
        <v>1210</v>
      </c>
      <c r="B466" s="2" t="s">
        <v>1210</v>
      </c>
      <c r="C466" s="2" t="s">
        <v>36</v>
      </c>
      <c r="D466" s="2" t="s">
        <v>37</v>
      </c>
      <c r="E466" s="5">
        <v>-30153</v>
      </c>
      <c r="F466" s="3" t="s">
        <v>843</v>
      </c>
      <c r="G466" s="3" t="s">
        <v>39</v>
      </c>
      <c r="H466" s="2" t="s">
        <v>21</v>
      </c>
      <c r="I466" s="2" t="s">
        <v>1211</v>
      </c>
      <c r="J466" s="3" t="str">
        <f>HYPERLINK("https://www.boe.es/gazeta/dias/1817/06/10/pdfs/GMD-1817-69.pdf#page=5","Abrir facsímil")</f>
        <v>Abrir facsímil</v>
      </c>
      <c r="K466" s="3" t="s">
        <v>23</v>
      </c>
    </row>
    <row r="467" spans="1:11" ht="42" customHeight="1">
      <c r="A467" s="2" t="s">
        <v>1212</v>
      </c>
      <c r="B467" s="2" t="s">
        <v>1213</v>
      </c>
      <c r="C467" s="2" t="s">
        <v>36</v>
      </c>
      <c r="D467" s="2" t="s">
        <v>37</v>
      </c>
      <c r="E467" s="5">
        <v>-29983</v>
      </c>
      <c r="F467" s="3" t="s">
        <v>148</v>
      </c>
      <c r="G467" s="3" t="s">
        <v>1214</v>
      </c>
      <c r="H467" s="2" t="s">
        <v>21</v>
      </c>
      <c r="I467" s="2" t="s">
        <v>1215</v>
      </c>
      <c r="J467" s="3" t="str">
        <f>HYPERLINK("https://www.boe.es/gazeta/dias/1817/11/27/pdfs/GMD-1817-142.pdf#page=5","Abrir facsímil")</f>
        <v>Abrir facsímil</v>
      </c>
      <c r="K467" s="3" t="s">
        <v>23</v>
      </c>
    </row>
    <row r="468" spans="1:11" ht="42" customHeight="1">
      <c r="A468" s="2" t="s">
        <v>1216</v>
      </c>
      <c r="B468" s="2" t="s">
        <v>1217</v>
      </c>
      <c r="C468" s="2" t="s">
        <v>36</v>
      </c>
      <c r="D468" s="2" t="s">
        <v>37</v>
      </c>
      <c r="E468" s="5">
        <v>-30153</v>
      </c>
      <c r="F468" s="3" t="s">
        <v>843</v>
      </c>
      <c r="G468" s="3" t="s">
        <v>39</v>
      </c>
      <c r="H468" s="2" t="s">
        <v>21</v>
      </c>
      <c r="I468" s="2" t="s">
        <v>1218</v>
      </c>
      <c r="J468" s="3" t="str">
        <f>HYPERLINK("https://www.boe.es/gazeta/dias/1817/06/10/pdfs/GMD-1817-69.pdf#page=5","Abrir facsímil")</f>
        <v>Abrir facsímil</v>
      </c>
      <c r="K468" s="3" t="s">
        <v>23</v>
      </c>
    </row>
    <row r="469" spans="1:11" ht="42" customHeight="1">
      <c r="A469" s="2" t="s">
        <v>1219</v>
      </c>
      <c r="B469" s="2" t="s">
        <v>1220</v>
      </c>
      <c r="C469" s="2" t="s">
        <v>55</v>
      </c>
      <c r="D469" s="2" t="s">
        <v>44</v>
      </c>
      <c r="E469" s="5">
        <v>-30067</v>
      </c>
      <c r="F469" s="3" t="s">
        <v>1221</v>
      </c>
      <c r="G469" s="3" t="s">
        <v>1222</v>
      </c>
      <c r="H469" s="2" t="s">
        <v>21</v>
      </c>
      <c r="I469" s="2" t="s">
        <v>1223</v>
      </c>
      <c r="J469" s="3" t="str">
        <f>HYPERLINK("https://www.boe.es/gazeta/dias/1817/09/04/pdfs/GMD-1817-106.pdf#page=8","Abrir facsímil")</f>
        <v>Abrir facsímil</v>
      </c>
      <c r="K469" s="3" t="s">
        <v>23</v>
      </c>
    </row>
    <row r="470" spans="1:11" ht="42" customHeight="1">
      <c r="A470" s="2" t="s">
        <v>1224</v>
      </c>
      <c r="B470" s="2" t="s">
        <v>1225</v>
      </c>
      <c r="C470" s="2" t="s">
        <v>55</v>
      </c>
      <c r="D470" s="2" t="s">
        <v>44</v>
      </c>
      <c r="E470" s="5">
        <v>-29967</v>
      </c>
      <c r="F470" s="3" t="s">
        <v>183</v>
      </c>
      <c r="G470" s="3" t="s">
        <v>77</v>
      </c>
      <c r="H470" s="2" t="s">
        <v>21</v>
      </c>
      <c r="I470" s="2" t="s">
        <v>1226</v>
      </c>
      <c r="J470" s="3" t="str">
        <f>HYPERLINK("https://www.boe.es/gazeta/dias/1817/12/13/pdfs/GMD-1817-149.pdf#page=8","Abrir facsímil")</f>
        <v>Abrir facsímil</v>
      </c>
      <c r="K470" s="3" t="s">
        <v>23</v>
      </c>
    </row>
    <row r="471" spans="1:11" ht="42" customHeight="1">
      <c r="A471" s="2" t="s">
        <v>1227</v>
      </c>
      <c r="B471" s="2" t="s">
        <v>1228</v>
      </c>
      <c r="C471" s="2" t="s">
        <v>17</v>
      </c>
      <c r="D471" s="2" t="s">
        <v>18</v>
      </c>
      <c r="E471" s="5">
        <v>-30184</v>
      </c>
      <c r="F471" s="3" t="s">
        <v>423</v>
      </c>
      <c r="G471" s="3" t="s">
        <v>20</v>
      </c>
      <c r="H471" s="2" t="s">
        <v>21</v>
      </c>
      <c r="I471" s="2" t="s">
        <v>1229</v>
      </c>
      <c r="J471" s="3" t="str">
        <f>HYPERLINK("https://www.boe.es/gazeta/dias/1817/05/10/pdfs/GMD-1817-56.pdf#page=7","Abrir facsímil")</f>
        <v>Abrir facsímil</v>
      </c>
      <c r="K471" s="3" t="s">
        <v>23</v>
      </c>
    </row>
    <row r="472" spans="1:11" ht="42" customHeight="1">
      <c r="A472" s="2" t="s">
        <v>1230</v>
      </c>
      <c r="B472" s="2" t="s">
        <v>1231</v>
      </c>
      <c r="C472" s="2" t="s">
        <v>36</v>
      </c>
      <c r="D472" s="2" t="s">
        <v>37</v>
      </c>
      <c r="E472" s="5">
        <v>-30144</v>
      </c>
      <c r="F472" s="3" t="s">
        <v>846</v>
      </c>
      <c r="G472" s="3" t="s">
        <v>57</v>
      </c>
      <c r="H472" s="2" t="s">
        <v>27</v>
      </c>
      <c r="I472" s="2" t="s">
        <v>1232</v>
      </c>
      <c r="J472" s="3" t="str">
        <f>HYPERLINK("https://www.boe.es/gazeta/dias/1817/06/19/pdfs/GMD-1817-73.pdf#page=6","Abrir facsímil")</f>
        <v>Abrir facsímil</v>
      </c>
      <c r="K472" s="3" t="s">
        <v>29</v>
      </c>
    </row>
    <row r="473" spans="1:11" ht="42" customHeight="1">
      <c r="A473" s="2" t="s">
        <v>1233</v>
      </c>
      <c r="B473" s="2" t="s">
        <v>1234</v>
      </c>
      <c r="C473" s="2" t="s">
        <v>36</v>
      </c>
      <c r="D473" s="2" t="s">
        <v>37</v>
      </c>
      <c r="E473" s="5">
        <v>-29995</v>
      </c>
      <c r="F473" s="3" t="s">
        <v>514</v>
      </c>
      <c r="G473" s="3" t="s">
        <v>57</v>
      </c>
      <c r="H473" s="2" t="s">
        <v>21</v>
      </c>
      <c r="I473" s="2" t="s">
        <v>1235</v>
      </c>
      <c r="J473" s="3" t="str">
        <f>HYPERLINK("https://www.boe.es/gazeta/dias/1817/11/15/pdfs/GMD-1817-137.pdf#page=6","Abrir facsímil")</f>
        <v>Abrir facsímil</v>
      </c>
      <c r="K473" s="3" t="s">
        <v>23</v>
      </c>
    </row>
    <row r="474" spans="1:11" ht="42" customHeight="1">
      <c r="A474" s="2" t="s">
        <v>1236</v>
      </c>
      <c r="B474" s="2" t="s">
        <v>1237</v>
      </c>
      <c r="C474" s="2" t="s">
        <v>55</v>
      </c>
      <c r="D474" s="2" t="s">
        <v>44</v>
      </c>
      <c r="E474" s="5">
        <v>-30086</v>
      </c>
      <c r="F474" s="3" t="s">
        <v>221</v>
      </c>
      <c r="G474" s="3" t="s">
        <v>39</v>
      </c>
      <c r="H474" s="2" t="s">
        <v>21</v>
      </c>
      <c r="I474" s="2" t="s">
        <v>1238</v>
      </c>
      <c r="J474" s="3" t="str">
        <f>HYPERLINK("https://www.boe.es/gazeta/dias/1817/08/16/pdfs/GMD-1817-98.pdf#page=5","Abrir facsímil")</f>
        <v>Abrir facsímil</v>
      </c>
      <c r="K474" s="3" t="s">
        <v>23</v>
      </c>
    </row>
    <row r="475" spans="1:11" ht="42" customHeight="1">
      <c r="A475" s="2" t="s">
        <v>1239</v>
      </c>
      <c r="B475" s="2" t="s">
        <v>1240</v>
      </c>
      <c r="C475" s="2" t="s">
        <v>17</v>
      </c>
      <c r="D475" s="2" t="s">
        <v>18</v>
      </c>
      <c r="E475" s="5">
        <v>-30100</v>
      </c>
      <c r="F475" s="3" t="s">
        <v>436</v>
      </c>
      <c r="G475" s="3" t="s">
        <v>39</v>
      </c>
      <c r="H475" s="2" t="s">
        <v>21</v>
      </c>
      <c r="I475" s="2" t="s">
        <v>1241</v>
      </c>
      <c r="J475" s="3" t="str">
        <f>HYPERLINK("https://www.boe.es/gazeta/dias/1817/08/02/pdfs/GMD-1817-92.pdf#page=5","Abrir facsímil")</f>
        <v>Abrir facsímil</v>
      </c>
      <c r="K475" s="3" t="s">
        <v>23</v>
      </c>
    </row>
    <row r="476" spans="1:11" ht="42" customHeight="1">
      <c r="A476" s="2" t="s">
        <v>1242</v>
      </c>
      <c r="B476" s="2" t="s">
        <v>1243</v>
      </c>
      <c r="C476" s="2" t="s">
        <v>17</v>
      </c>
      <c r="D476" s="2" t="s">
        <v>18</v>
      </c>
      <c r="E476" s="5">
        <v>-30095</v>
      </c>
      <c r="F476" s="3" t="s">
        <v>365</v>
      </c>
      <c r="G476" s="3" t="s">
        <v>112</v>
      </c>
      <c r="H476" s="2" t="s">
        <v>21</v>
      </c>
      <c r="I476" s="2" t="s">
        <v>1244</v>
      </c>
      <c r="J476" s="3" t="str">
        <f>HYPERLINK("https://www.boe.es/gazeta/dias/1817/08/07/pdfs/GMD-1817-94.pdf#page=11","Abrir facsímil")</f>
        <v>Abrir facsímil</v>
      </c>
      <c r="K476" s="3" t="s">
        <v>23</v>
      </c>
    </row>
    <row r="477" spans="1:11" ht="42" customHeight="1">
      <c r="A477" s="2" t="s">
        <v>1245</v>
      </c>
      <c r="B477" s="2" t="s">
        <v>1246</v>
      </c>
      <c r="C477" s="2" t="s">
        <v>36</v>
      </c>
      <c r="D477" s="2" t="s">
        <v>37</v>
      </c>
      <c r="E477" s="5">
        <v>-30275</v>
      </c>
      <c r="F477" s="3" t="s">
        <v>1025</v>
      </c>
      <c r="G477" s="3" t="s">
        <v>77</v>
      </c>
      <c r="H477" s="2" t="s">
        <v>21</v>
      </c>
      <c r="I477" s="2" t="s">
        <v>1247</v>
      </c>
      <c r="J477" s="3" t="str">
        <f>HYPERLINK("https://www.boe.es/gazeta/dias/1817/02/08/pdfs/GMD-1817-17.pdf#page=8","Abrir facsímil")</f>
        <v>Abrir facsímil</v>
      </c>
      <c r="K477" s="3" t="s">
        <v>23</v>
      </c>
    </row>
    <row r="478" spans="1:11" ht="42" customHeight="1">
      <c r="A478" s="2" t="s">
        <v>1248</v>
      </c>
      <c r="B478" s="2" t="s">
        <v>1249</v>
      </c>
      <c r="C478" s="2" t="s">
        <v>43</v>
      </c>
      <c r="D478" s="2" t="s">
        <v>44</v>
      </c>
      <c r="E478" s="5">
        <v>-30286</v>
      </c>
      <c r="F478" s="3" t="s">
        <v>354</v>
      </c>
      <c r="G478" s="3" t="s">
        <v>57</v>
      </c>
      <c r="H478" s="2" t="s">
        <v>21</v>
      </c>
      <c r="I478" s="2" t="s">
        <v>1250</v>
      </c>
      <c r="J478" s="3" t="str">
        <f>HYPERLINK("https://www.boe.es/gazeta/dias/1817/01/28/pdfs/GMD-1817-12.pdf#page=6","Abrir facsímil")</f>
        <v>Abrir facsímil</v>
      </c>
      <c r="K478" s="3" t="s">
        <v>23</v>
      </c>
    </row>
    <row r="479" spans="1:11" ht="42" customHeight="1">
      <c r="A479" s="2" t="s">
        <v>1251</v>
      </c>
      <c r="B479" s="2" t="s">
        <v>1252</v>
      </c>
      <c r="C479" s="2" t="s">
        <v>43</v>
      </c>
      <c r="D479" s="2" t="s">
        <v>44</v>
      </c>
      <c r="E479" s="5">
        <v>-30307</v>
      </c>
      <c r="F479" s="3" t="s">
        <v>67</v>
      </c>
      <c r="G479" s="3" t="s">
        <v>68</v>
      </c>
      <c r="H479" s="2" t="s">
        <v>27</v>
      </c>
      <c r="I479" s="2" t="s">
        <v>1253</v>
      </c>
      <c r="J479" s="3" t="str">
        <f>HYPERLINK("https://www.boe.es/gazeta/dias/1817/01/07/pdfs/GMD-1817-3.pdf#page=8","Abrir facsímil")</f>
        <v>Abrir facsímil</v>
      </c>
      <c r="K479" s="3" t="s">
        <v>29</v>
      </c>
    </row>
    <row r="480" spans="1:11" ht="42" customHeight="1">
      <c r="A480" s="2" t="s">
        <v>1254</v>
      </c>
      <c r="B480" s="2" t="s">
        <v>1255</v>
      </c>
      <c r="C480" s="2" t="s">
        <v>43</v>
      </c>
      <c r="D480" s="2" t="s">
        <v>44</v>
      </c>
      <c r="E480" s="5">
        <v>-30307</v>
      </c>
      <c r="F480" s="3" t="s">
        <v>67</v>
      </c>
      <c r="G480" s="3" t="s">
        <v>68</v>
      </c>
      <c r="H480" s="2" t="s">
        <v>27</v>
      </c>
      <c r="I480" s="2" t="s">
        <v>1256</v>
      </c>
      <c r="J480" s="3" t="str">
        <f>HYPERLINK("https://www.boe.es/gazeta/dias/1817/01/07/pdfs/GMD-1817-3.pdf#page=8","Abrir facsímil")</f>
        <v>Abrir facsímil</v>
      </c>
      <c r="K480" s="3" t="s">
        <v>29</v>
      </c>
    </row>
    <row r="481" spans="1:11" ht="42" customHeight="1">
      <c r="A481" s="2" t="s">
        <v>1257</v>
      </c>
      <c r="B481" s="2" t="s">
        <v>1258</v>
      </c>
      <c r="C481" s="2" t="s">
        <v>510</v>
      </c>
      <c r="D481" s="2" t="s">
        <v>44</v>
      </c>
      <c r="E481" s="5">
        <v>-30104</v>
      </c>
      <c r="F481" s="3" t="s">
        <v>856</v>
      </c>
      <c r="G481" s="3" t="s">
        <v>20</v>
      </c>
      <c r="H481" s="2" t="s">
        <v>21</v>
      </c>
      <c r="I481" s="2" t="s">
        <v>1259</v>
      </c>
      <c r="J481" s="3" t="str">
        <f>HYPERLINK("https://www.boe.es/gazeta/dias/1817/07/29/pdfs/GMD-1817-90.pdf#page=7","Abrir facsímil")</f>
        <v>Abrir facsímil</v>
      </c>
      <c r="K481" s="3" t="s">
        <v>23</v>
      </c>
    </row>
    <row r="482" spans="1:11" ht="42" customHeight="1">
      <c r="A482" s="2" t="s">
        <v>1260</v>
      </c>
      <c r="B482" s="2" t="s">
        <v>1261</v>
      </c>
      <c r="C482" s="2" t="s">
        <v>510</v>
      </c>
      <c r="D482" s="2" t="s">
        <v>44</v>
      </c>
      <c r="E482" s="5">
        <v>-30202</v>
      </c>
      <c r="F482" s="3" t="s">
        <v>418</v>
      </c>
      <c r="G482" s="3" t="s">
        <v>1262</v>
      </c>
      <c r="H482" s="2" t="s">
        <v>27</v>
      </c>
      <c r="I482" s="2" t="s">
        <v>1263</v>
      </c>
      <c r="J482" s="3" t="str">
        <f>HYPERLINK("https://www.boe.es/gazeta/dias/1817/04/22/pdfs/GMD-1817-48.pdf#page=2","Abrir facsímil")</f>
        <v>Abrir facsímil</v>
      </c>
      <c r="K482" s="3" t="s">
        <v>29</v>
      </c>
    </row>
    <row r="483" spans="1:11" ht="42" customHeight="1">
      <c r="A483" s="2" t="s">
        <v>1260</v>
      </c>
      <c r="B483" s="2" t="s">
        <v>1261</v>
      </c>
      <c r="C483" s="2" t="s">
        <v>36</v>
      </c>
      <c r="D483" s="2" t="s">
        <v>37</v>
      </c>
      <c r="E483" s="5">
        <v>-30065</v>
      </c>
      <c r="F483" s="3" t="s">
        <v>201</v>
      </c>
      <c r="G483" s="3" t="s">
        <v>57</v>
      </c>
      <c r="H483" s="2" t="s">
        <v>27</v>
      </c>
      <c r="I483" s="2" t="s">
        <v>1264</v>
      </c>
      <c r="J483" s="3" t="str">
        <f>HYPERLINK("https://www.boe.es/gazeta/dias/1817/09/06/pdfs/GMD-1817-107.pdf#page=6","Abrir facsímil")</f>
        <v>Abrir facsímil</v>
      </c>
      <c r="K483" s="3" t="s">
        <v>29</v>
      </c>
    </row>
    <row r="484" spans="1:11" ht="42" customHeight="1">
      <c r="A484" s="2" t="s">
        <v>1265</v>
      </c>
      <c r="B484" s="2" t="s">
        <v>1266</v>
      </c>
      <c r="C484" s="2" t="s">
        <v>17</v>
      </c>
      <c r="D484" s="2" t="s">
        <v>18</v>
      </c>
      <c r="E484" s="5">
        <v>-29960</v>
      </c>
      <c r="F484" s="3" t="s">
        <v>657</v>
      </c>
      <c r="G484" s="3" t="s">
        <v>20</v>
      </c>
      <c r="H484" s="2" t="s">
        <v>27</v>
      </c>
      <c r="I484" s="2" t="s">
        <v>1267</v>
      </c>
      <c r="J484" s="3" t="str">
        <f>HYPERLINK("https://www.boe.es/gazeta/dias/1817/12/20/pdfs/GMD-1817-152.pdf#page=7","Abrir facsímil")</f>
        <v>Abrir facsímil</v>
      </c>
      <c r="K484" s="3" t="s">
        <v>29</v>
      </c>
    </row>
    <row r="485" spans="1:11" ht="42" customHeight="1">
      <c r="A485" s="2" t="s">
        <v>1268</v>
      </c>
      <c r="B485" s="2" t="s">
        <v>1269</v>
      </c>
      <c r="C485" s="2" t="s">
        <v>17</v>
      </c>
      <c r="D485" s="2" t="s">
        <v>18</v>
      </c>
      <c r="E485" s="5">
        <v>-30230</v>
      </c>
      <c r="F485" s="3" t="s">
        <v>189</v>
      </c>
      <c r="G485" s="3" t="s">
        <v>77</v>
      </c>
      <c r="H485" s="2" t="s">
        <v>21</v>
      </c>
      <c r="I485" s="2" t="s">
        <v>1270</v>
      </c>
      <c r="J485" s="3" t="str">
        <f>HYPERLINK("https://www.boe.es/gazeta/dias/1817/03/25/pdfs/GMD-1817-36.pdf#page=8","Abrir facsímil")</f>
        <v>Abrir facsímil</v>
      </c>
      <c r="K485" s="3" t="s">
        <v>23</v>
      </c>
    </row>
    <row r="486" spans="1:11" ht="42" customHeight="1">
      <c r="A486" s="2" t="s">
        <v>1271</v>
      </c>
      <c r="B486" s="2" t="s">
        <v>1272</v>
      </c>
      <c r="C486" s="2" t="s">
        <v>36</v>
      </c>
      <c r="D486" s="2" t="s">
        <v>37</v>
      </c>
      <c r="E486" s="5">
        <v>-30083</v>
      </c>
      <c r="F486" s="3" t="s">
        <v>1273</v>
      </c>
      <c r="G486" s="3" t="s">
        <v>20</v>
      </c>
      <c r="H486" s="2" t="s">
        <v>21</v>
      </c>
      <c r="I486" s="2" t="s">
        <v>1274</v>
      </c>
      <c r="J486" s="3" t="str">
        <f>HYPERLINK("https://www.boe.es/gazeta/dias/1817/08/19/pdfs/GMD-1817-99.pdf#page=7","Abrir facsímil")</f>
        <v>Abrir facsímil</v>
      </c>
      <c r="K486" s="3" t="s">
        <v>23</v>
      </c>
    </row>
    <row r="487" spans="1:11" ht="42" customHeight="1">
      <c r="A487" s="2" t="s">
        <v>1275</v>
      </c>
      <c r="B487" s="2" t="s">
        <v>1276</v>
      </c>
      <c r="C487" s="2" t="s">
        <v>43</v>
      </c>
      <c r="D487" s="2" t="s">
        <v>44</v>
      </c>
      <c r="E487" s="5">
        <v>-30104</v>
      </c>
      <c r="F487" s="3" t="s">
        <v>856</v>
      </c>
      <c r="G487" s="3" t="s">
        <v>1277</v>
      </c>
      <c r="H487" s="2" t="s">
        <v>21</v>
      </c>
      <c r="I487" s="2" t="s">
        <v>1278</v>
      </c>
      <c r="J487" s="3" t="str">
        <f>HYPERLINK("https://www.boe.es/gazeta/dias/1817/07/29/pdfs/GMD-1817-90.pdf#page=8","Abrir facsímil")</f>
        <v>Abrir facsímil</v>
      </c>
      <c r="K487" s="3" t="s">
        <v>23</v>
      </c>
    </row>
    <row r="488" spans="1:11" ht="42" customHeight="1">
      <c r="A488" s="2" t="s">
        <v>1279</v>
      </c>
      <c r="B488" s="2" t="s">
        <v>1280</v>
      </c>
      <c r="C488" s="2" t="s">
        <v>17</v>
      </c>
      <c r="D488" s="2" t="s">
        <v>18</v>
      </c>
      <c r="E488" s="5">
        <v>-30065</v>
      </c>
      <c r="F488" s="3" t="s">
        <v>201</v>
      </c>
      <c r="G488" s="3" t="s">
        <v>20</v>
      </c>
      <c r="H488" s="2" t="s">
        <v>27</v>
      </c>
      <c r="I488" s="2" t="s">
        <v>1281</v>
      </c>
      <c r="J488" s="3" t="str">
        <f>HYPERLINK("https://www.boe.es/gazeta/dias/1817/09/06/pdfs/GMD-1817-107.pdf#page=7","Abrir facsímil")</f>
        <v>Abrir facsímil</v>
      </c>
      <c r="K488" s="3" t="s">
        <v>29</v>
      </c>
    </row>
    <row r="489" spans="1:11" ht="42" customHeight="1">
      <c r="A489" s="2" t="s">
        <v>1282</v>
      </c>
      <c r="B489" s="2" t="s">
        <v>1283</v>
      </c>
      <c r="C489" s="2" t="s">
        <v>55</v>
      </c>
      <c r="D489" s="2" t="s">
        <v>44</v>
      </c>
      <c r="E489" s="5">
        <v>-29988</v>
      </c>
      <c r="F489" s="3" t="s">
        <v>569</v>
      </c>
      <c r="G489" s="3" t="s">
        <v>314</v>
      </c>
      <c r="H489" s="2" t="s">
        <v>27</v>
      </c>
      <c r="I489" s="2" t="s">
        <v>1284</v>
      </c>
      <c r="J489" s="3" t="str">
        <f>HYPERLINK("https://www.boe.es/gazeta/dias/1817/11/22/pdfs/GMD-1817-140.pdf#page=10","Abrir facsímil")</f>
        <v>Abrir facsímil</v>
      </c>
      <c r="K489" s="3" t="s">
        <v>29</v>
      </c>
    </row>
    <row r="490" spans="1:11" ht="42" customHeight="1">
      <c r="A490" s="2" t="s">
        <v>1285</v>
      </c>
      <c r="B490" s="2" t="s">
        <v>1286</v>
      </c>
      <c r="C490" s="2" t="s">
        <v>138</v>
      </c>
      <c r="D490" s="2" t="s">
        <v>44</v>
      </c>
      <c r="E490" s="5">
        <v>-30184</v>
      </c>
      <c r="F490" s="3" t="s">
        <v>423</v>
      </c>
      <c r="G490" s="3" t="s">
        <v>77</v>
      </c>
      <c r="H490" s="2" t="s">
        <v>27</v>
      </c>
      <c r="I490" s="2" t="s">
        <v>1287</v>
      </c>
      <c r="J490" s="3" t="str">
        <f>HYPERLINK("https://www.boe.es/gazeta/dias/1817/05/10/pdfs/GMD-1817-56.pdf#page=8","Abrir facsímil")</f>
        <v>Abrir facsímil</v>
      </c>
      <c r="K490" s="3" t="s">
        <v>29</v>
      </c>
    </row>
    <row r="491" spans="1:11" ht="42" customHeight="1">
      <c r="A491" s="2" t="s">
        <v>1288</v>
      </c>
      <c r="B491" s="2" t="s">
        <v>1289</v>
      </c>
      <c r="C491" s="2" t="s">
        <v>138</v>
      </c>
      <c r="D491" s="2" t="s">
        <v>44</v>
      </c>
      <c r="E491" s="5">
        <v>-30004</v>
      </c>
      <c r="F491" s="3" t="s">
        <v>329</v>
      </c>
      <c r="G491" s="3" t="s">
        <v>629</v>
      </c>
      <c r="H491" s="2" t="s">
        <v>21</v>
      </c>
      <c r="I491" s="2" t="s">
        <v>1290</v>
      </c>
      <c r="J491" s="3" t="str">
        <f>HYPERLINK("https://www.boe.es/gazeta/dias/1817/11/06/pdfs/GMD-1817-133.pdf#page=2","Abrir facsímil")</f>
        <v>Abrir facsímil</v>
      </c>
      <c r="K491" s="3" t="s">
        <v>23</v>
      </c>
    </row>
    <row r="492" spans="1:11" ht="42" customHeight="1">
      <c r="A492" s="2" t="s">
        <v>1291</v>
      </c>
      <c r="B492" s="2" t="s">
        <v>1292</v>
      </c>
      <c r="C492" s="2" t="s">
        <v>36</v>
      </c>
      <c r="D492" s="2" t="s">
        <v>37</v>
      </c>
      <c r="E492" s="5">
        <v>-30065</v>
      </c>
      <c r="F492" s="3" t="s">
        <v>201</v>
      </c>
      <c r="G492" s="3" t="s">
        <v>57</v>
      </c>
      <c r="H492" s="2" t="s">
        <v>21</v>
      </c>
      <c r="I492" s="2" t="s">
        <v>1293</v>
      </c>
      <c r="J492" s="3" t="str">
        <f>HYPERLINK("https://www.boe.es/gazeta/dias/1817/09/06/pdfs/GMD-1817-107.pdf#page=6","Abrir facsímil")</f>
        <v>Abrir facsímil</v>
      </c>
      <c r="K492" s="3" t="s">
        <v>23</v>
      </c>
    </row>
    <row r="493" spans="1:11" ht="42" customHeight="1">
      <c r="A493" s="2" t="s">
        <v>1294</v>
      </c>
      <c r="B493" s="2" t="s">
        <v>1295</v>
      </c>
      <c r="C493" s="2" t="s">
        <v>36</v>
      </c>
      <c r="D493" s="2" t="s">
        <v>37</v>
      </c>
      <c r="E493" s="5">
        <v>-30284</v>
      </c>
      <c r="F493" s="3" t="s">
        <v>741</v>
      </c>
      <c r="G493" s="3" t="s">
        <v>742</v>
      </c>
      <c r="H493" s="2" t="s">
        <v>21</v>
      </c>
      <c r="I493" s="2" t="s">
        <v>1296</v>
      </c>
      <c r="J493" s="3" t="str">
        <f>HYPERLINK("https://www.boe.es/gazeta/dias/1817/01/30/pdfs/GMD-1817-13.pdf#page=4","Abrir facsímil")</f>
        <v>Abrir facsímil</v>
      </c>
      <c r="K493" s="3" t="s">
        <v>23</v>
      </c>
    </row>
    <row r="494" spans="1:11" ht="42" customHeight="1">
      <c r="A494" s="2" t="s">
        <v>1297</v>
      </c>
      <c r="B494" s="2" t="s">
        <v>1298</v>
      </c>
      <c r="C494" s="2" t="s">
        <v>17</v>
      </c>
      <c r="D494" s="2" t="s">
        <v>18</v>
      </c>
      <c r="E494" s="5">
        <v>-30235</v>
      </c>
      <c r="F494" s="3" t="s">
        <v>398</v>
      </c>
      <c r="G494" s="3" t="s">
        <v>77</v>
      </c>
      <c r="H494" s="2" t="s">
        <v>21</v>
      </c>
      <c r="I494" s="2" t="s">
        <v>1299</v>
      </c>
      <c r="J494" s="3" t="str">
        <f>HYPERLINK("https://www.boe.es/gazeta/dias/1817/03/20/pdfs/GMD-1817-34.pdf#page=8","Abrir facsímil")</f>
        <v>Abrir facsímil</v>
      </c>
      <c r="K494" s="3" t="s">
        <v>23</v>
      </c>
    </row>
    <row r="495" spans="1:11" ht="42" customHeight="1">
      <c r="A495" s="2" t="s">
        <v>1300</v>
      </c>
      <c r="B495" s="2" t="s">
        <v>1301</v>
      </c>
      <c r="C495" s="2" t="s">
        <v>49</v>
      </c>
      <c r="D495" s="2" t="s">
        <v>44</v>
      </c>
      <c r="E495" s="5">
        <v>-30242</v>
      </c>
      <c r="F495" s="3" t="s">
        <v>62</v>
      </c>
      <c r="G495" s="3" t="s">
        <v>77</v>
      </c>
      <c r="H495" s="2" t="s">
        <v>21</v>
      </c>
      <c r="I495" s="2" t="s">
        <v>1302</v>
      </c>
      <c r="J495" s="3" t="str">
        <f>HYPERLINK("https://www.boe.es/gazeta/dias/1817/03/13/pdfs/GMD-1817-31.pdf#page=8","Abrir facsímil")</f>
        <v>Abrir facsímil</v>
      </c>
      <c r="K495" s="3" t="s">
        <v>23</v>
      </c>
    </row>
    <row r="496" spans="1:11" ht="42" customHeight="1">
      <c r="A496" s="2" t="s">
        <v>1303</v>
      </c>
      <c r="B496" s="2" t="s">
        <v>1304</v>
      </c>
      <c r="C496" s="2" t="s">
        <v>17</v>
      </c>
      <c r="D496" s="2" t="s">
        <v>18</v>
      </c>
      <c r="E496" s="5">
        <v>-30111</v>
      </c>
      <c r="F496" s="3" t="s">
        <v>1017</v>
      </c>
      <c r="G496" s="3" t="s">
        <v>20</v>
      </c>
      <c r="H496" s="2" t="s">
        <v>21</v>
      </c>
      <c r="I496" s="2" t="s">
        <v>1305</v>
      </c>
      <c r="J496" s="3" t="str">
        <f>HYPERLINK("https://www.boe.es/gazeta/dias/1817/07/22/pdfs/GMD-1817-87.pdf#page=7","Abrir facsímil")</f>
        <v>Abrir facsímil</v>
      </c>
      <c r="K496" s="3" t="s">
        <v>23</v>
      </c>
    </row>
    <row r="497" spans="1:11" ht="42" customHeight="1">
      <c r="A497" s="2" t="s">
        <v>1306</v>
      </c>
      <c r="B497" s="2" t="s">
        <v>1306</v>
      </c>
      <c r="C497" s="2" t="s">
        <v>36</v>
      </c>
      <c r="D497" s="2" t="s">
        <v>37</v>
      </c>
      <c r="E497" s="5">
        <v>-30233</v>
      </c>
      <c r="F497" s="3" t="s">
        <v>577</v>
      </c>
      <c r="G497" s="3" t="s">
        <v>72</v>
      </c>
      <c r="H497" s="2" t="s">
        <v>21</v>
      </c>
      <c r="I497" s="2" t="s">
        <v>1307</v>
      </c>
      <c r="J497" s="3" t="str">
        <f>HYPERLINK("https://www.boe.es/gazeta/dias/1817/03/22/pdfs/GMD-1817-35.pdf#page=1","Abrir facsímil")</f>
        <v>Abrir facsímil</v>
      </c>
      <c r="K497" s="3" t="s">
        <v>23</v>
      </c>
    </row>
    <row r="498" spans="1:11" ht="42" customHeight="1">
      <c r="A498" s="2" t="s">
        <v>1308</v>
      </c>
      <c r="B498" s="2" t="s">
        <v>1309</v>
      </c>
      <c r="C498" s="2" t="s">
        <v>43</v>
      </c>
      <c r="D498" s="2" t="s">
        <v>44</v>
      </c>
      <c r="E498" s="5">
        <v>-29981</v>
      </c>
      <c r="F498" s="3" t="s">
        <v>111</v>
      </c>
      <c r="G498" s="3" t="s">
        <v>112</v>
      </c>
      <c r="H498" s="2" t="s">
        <v>21</v>
      </c>
      <c r="I498" s="2" t="s">
        <v>1310</v>
      </c>
      <c r="J498" s="3" t="str">
        <f>HYPERLINK("https://www.boe.es/gazeta/dias/1817/11/29/pdfs/GMD-1817-143.pdf#page=11","Abrir facsímil")</f>
        <v>Abrir facsímil</v>
      </c>
      <c r="K498" s="3" t="s">
        <v>23</v>
      </c>
    </row>
    <row r="499" spans="1:11" ht="42" customHeight="1">
      <c r="A499" s="2" t="s">
        <v>1311</v>
      </c>
      <c r="B499" s="2" t="s">
        <v>1312</v>
      </c>
      <c r="C499" s="2" t="s">
        <v>36</v>
      </c>
      <c r="D499" s="2" t="s">
        <v>37</v>
      </c>
      <c r="E499" s="5">
        <v>-30023</v>
      </c>
      <c r="F499" s="3" t="s">
        <v>460</v>
      </c>
      <c r="G499" s="3" t="s">
        <v>144</v>
      </c>
      <c r="H499" s="2" t="s">
        <v>21</v>
      </c>
      <c r="I499" s="2" t="s">
        <v>1313</v>
      </c>
      <c r="J499" s="3" t="str">
        <f>HYPERLINK("https://www.boe.es/gazeta/dias/1817/10/18/pdfs/GMD-1817-125.pdf#page=4","Abrir facsímil")</f>
        <v>Abrir facsímil</v>
      </c>
      <c r="K499" s="3" t="s">
        <v>23</v>
      </c>
    </row>
    <row r="500" spans="1:11" ht="42" customHeight="1">
      <c r="A500" s="2" t="s">
        <v>1314</v>
      </c>
      <c r="B500" s="2" t="s">
        <v>1315</v>
      </c>
      <c r="C500" s="2" t="s">
        <v>97</v>
      </c>
      <c r="D500" s="2" t="s">
        <v>44</v>
      </c>
      <c r="E500" s="5">
        <v>-30048</v>
      </c>
      <c r="F500" s="3" t="s">
        <v>573</v>
      </c>
      <c r="G500" s="3" t="s">
        <v>77</v>
      </c>
      <c r="H500" s="2" t="s">
        <v>27</v>
      </c>
      <c r="I500" s="2" t="s">
        <v>1316</v>
      </c>
      <c r="J500" s="3" t="str">
        <f>HYPERLINK("https://www.boe.es/gazeta/dias/1817/09/23/pdfs/GMD-1817-114.pdf#page=8","Abrir facsímil")</f>
        <v>Abrir facsímil</v>
      </c>
      <c r="K500" s="3" t="s">
        <v>29</v>
      </c>
    </row>
    <row r="501" spans="1:11" ht="42" customHeight="1">
      <c r="A501" s="2" t="s">
        <v>1317</v>
      </c>
      <c r="B501" s="2" t="s">
        <v>1318</v>
      </c>
      <c r="C501" s="2" t="s">
        <v>97</v>
      </c>
      <c r="D501" s="2" t="s">
        <v>44</v>
      </c>
      <c r="E501" s="5">
        <v>-30132</v>
      </c>
      <c r="F501" s="3" t="s">
        <v>718</v>
      </c>
      <c r="G501" s="3" t="s">
        <v>20</v>
      </c>
      <c r="H501" s="2" t="s">
        <v>21</v>
      </c>
      <c r="I501" s="2" t="s">
        <v>1319</v>
      </c>
      <c r="J501" s="3" t="str">
        <f>HYPERLINK("https://www.boe.es/gazeta/dias/1817/07/01/pdfs/GMD-1817-78.pdf#page=7","Abrir facsímil")</f>
        <v>Abrir facsímil</v>
      </c>
      <c r="K501" s="3" t="s">
        <v>23</v>
      </c>
    </row>
    <row r="502" spans="1:11" ht="42" customHeight="1">
      <c r="A502" s="2" t="s">
        <v>1320</v>
      </c>
      <c r="B502" s="2" t="s">
        <v>1321</v>
      </c>
      <c r="C502" s="2" t="s">
        <v>36</v>
      </c>
      <c r="D502" s="2" t="s">
        <v>37</v>
      </c>
      <c r="E502" s="5">
        <v>-30307</v>
      </c>
      <c r="F502" s="3" t="s">
        <v>67</v>
      </c>
      <c r="G502" s="3" t="s">
        <v>1179</v>
      </c>
      <c r="H502" s="2" t="s">
        <v>21</v>
      </c>
      <c r="I502" s="2" t="s">
        <v>1322</v>
      </c>
      <c r="J502" s="3" t="str">
        <f>HYPERLINK("https://www.boe.es/gazeta/dias/1817/01/07/pdfs/GMD-1817-3.pdf#page=7","Abrir facsímil")</f>
        <v>Abrir facsímil</v>
      </c>
      <c r="K502" s="3" t="s">
        <v>23</v>
      </c>
    </row>
    <row r="503" spans="1:11" ht="42" customHeight="1">
      <c r="A503" s="2" t="s">
        <v>1323</v>
      </c>
      <c r="B503" s="2" t="s">
        <v>1324</v>
      </c>
      <c r="C503" s="2" t="s">
        <v>1325</v>
      </c>
      <c r="D503" s="2" t="s">
        <v>18</v>
      </c>
      <c r="E503" s="5">
        <v>-30027</v>
      </c>
      <c r="F503" s="3" t="s">
        <v>173</v>
      </c>
      <c r="G503" s="3" t="s">
        <v>20</v>
      </c>
      <c r="H503" s="2" t="s">
        <v>21</v>
      </c>
      <c r="I503" s="2" t="s">
        <v>1326</v>
      </c>
      <c r="J503" s="3" t="str">
        <f>HYPERLINK("https://www.boe.es/gazeta/dias/1817/10/14/pdfs/GMD-1817-123.pdf#page=7","Abrir facsímil")</f>
        <v>Abrir facsímil</v>
      </c>
      <c r="K503" s="3" t="s">
        <v>23</v>
      </c>
    </row>
    <row r="504" spans="1:11" ht="42" customHeight="1">
      <c r="A504" s="2" t="s">
        <v>1327</v>
      </c>
      <c r="B504" s="2" t="s">
        <v>1327</v>
      </c>
      <c r="C504" s="2" t="s">
        <v>510</v>
      </c>
      <c r="D504" s="2" t="s">
        <v>44</v>
      </c>
      <c r="E504" s="5">
        <v>-29990</v>
      </c>
      <c r="F504" s="3" t="s">
        <v>542</v>
      </c>
      <c r="G504" s="3" t="s">
        <v>72</v>
      </c>
      <c r="H504" s="2" t="s">
        <v>21</v>
      </c>
      <c r="I504" s="2" t="s">
        <v>1328</v>
      </c>
      <c r="J504" s="3" t="str">
        <f>HYPERLINK("https://www.boe.es/gazeta/dias/1817/11/20/pdfs/GMD-1817-139.pdf#page=1","Abrir facsímil")</f>
        <v>Abrir facsímil</v>
      </c>
      <c r="K504" s="3" t="s">
        <v>23</v>
      </c>
    </row>
    <row r="505" spans="1:11" ht="42" customHeight="1">
      <c r="A505" s="2" t="s">
        <v>1327</v>
      </c>
      <c r="B505" s="2" t="s">
        <v>1327</v>
      </c>
      <c r="C505" s="2" t="s">
        <v>36</v>
      </c>
      <c r="D505" s="2" t="s">
        <v>37</v>
      </c>
      <c r="E505" s="5">
        <v>-29990</v>
      </c>
      <c r="F505" s="3" t="s">
        <v>542</v>
      </c>
      <c r="G505" s="3" t="s">
        <v>629</v>
      </c>
      <c r="H505" s="2" t="s">
        <v>21</v>
      </c>
      <c r="I505" s="2" t="s">
        <v>1329</v>
      </c>
      <c r="J505" s="3" t="str">
        <f>HYPERLINK("https://www.boe.es/gazeta/dias/1817/11/20/pdfs/GMD-1817-139.pdf#page=2","Abrir facsímil")</f>
        <v>Abrir facsímil</v>
      </c>
      <c r="K505" s="3" t="s">
        <v>23</v>
      </c>
    </row>
    <row r="506" spans="1:11" ht="42" customHeight="1">
      <c r="A506" s="2" t="s">
        <v>1330</v>
      </c>
      <c r="B506" s="2" t="s">
        <v>1330</v>
      </c>
      <c r="C506" s="2" t="s">
        <v>36</v>
      </c>
      <c r="D506" s="2" t="s">
        <v>37</v>
      </c>
      <c r="E506" s="5">
        <v>-30072</v>
      </c>
      <c r="F506" s="3" t="s">
        <v>442</v>
      </c>
      <c r="G506" s="3" t="s">
        <v>72</v>
      </c>
      <c r="H506" s="2" t="s">
        <v>21</v>
      </c>
      <c r="I506" s="2" t="s">
        <v>1331</v>
      </c>
      <c r="J506" s="3" t="str">
        <f>HYPERLINK("https://www.boe.es/gazeta/dias/1817/08/30/pdfs/GMD-1817-104.pdf#page=1","Abrir facsímil")</f>
        <v>Abrir facsímil</v>
      </c>
      <c r="K506" s="3" t="s">
        <v>23</v>
      </c>
    </row>
    <row r="507" spans="1:11" ht="42" customHeight="1">
      <c r="A507" s="2" t="s">
        <v>1332</v>
      </c>
      <c r="B507" s="2" t="s">
        <v>1333</v>
      </c>
      <c r="C507" s="2" t="s">
        <v>17</v>
      </c>
      <c r="D507" s="2" t="s">
        <v>18</v>
      </c>
      <c r="E507" s="5">
        <v>-30179</v>
      </c>
      <c r="F507" s="3" t="s">
        <v>391</v>
      </c>
      <c r="G507" s="3" t="s">
        <v>20</v>
      </c>
      <c r="H507" s="2" t="s">
        <v>21</v>
      </c>
      <c r="I507" s="2" t="s">
        <v>1334</v>
      </c>
      <c r="J507" s="3" t="str">
        <f>HYPERLINK("https://www.boe.es/gazeta/dias/1817/05/15/pdfs/GMD-1817-58.pdf#page=7","Abrir facsímil")</f>
        <v>Abrir facsímil</v>
      </c>
      <c r="K507" s="3" t="s">
        <v>23</v>
      </c>
    </row>
    <row r="508" spans="1:11" ht="42" customHeight="1">
      <c r="A508" s="2" t="s">
        <v>1335</v>
      </c>
      <c r="B508" s="2" t="s">
        <v>1336</v>
      </c>
      <c r="C508" s="2" t="s">
        <v>36</v>
      </c>
      <c r="D508" s="2" t="s">
        <v>37</v>
      </c>
      <c r="E508" s="5">
        <v>-30202</v>
      </c>
      <c r="F508" s="3" t="s">
        <v>418</v>
      </c>
      <c r="G508" s="3" t="s">
        <v>77</v>
      </c>
      <c r="H508" s="2" t="s">
        <v>21</v>
      </c>
      <c r="I508" s="2" t="s">
        <v>1337</v>
      </c>
      <c r="J508" s="3" t="str">
        <f>HYPERLINK("https://www.boe.es/gazeta/dias/1817/04/22/pdfs/GMD-1817-48.pdf#page=8","Abrir facsímil")</f>
        <v>Abrir facsímil</v>
      </c>
      <c r="K508" s="3" t="s">
        <v>23</v>
      </c>
    </row>
    <row r="509" spans="1:11" ht="42" customHeight="1">
      <c r="A509" s="2" t="s">
        <v>1338</v>
      </c>
      <c r="B509" s="2" t="s">
        <v>1339</v>
      </c>
      <c r="C509" s="2" t="s">
        <v>49</v>
      </c>
      <c r="D509" s="2" t="s">
        <v>44</v>
      </c>
      <c r="E509" s="5">
        <v>-30307</v>
      </c>
      <c r="F509" s="3" t="s">
        <v>67</v>
      </c>
      <c r="G509" s="3" t="s">
        <v>68</v>
      </c>
      <c r="H509" s="2" t="s">
        <v>21</v>
      </c>
      <c r="I509" s="2" t="s">
        <v>1340</v>
      </c>
      <c r="J509" s="3" t="str">
        <f>HYPERLINK("https://www.boe.es/gazeta/dias/1817/01/07/pdfs/GMD-1817-3.pdf#page=8","Abrir facsímil")</f>
        <v>Abrir facsímil</v>
      </c>
      <c r="K509" s="3" t="s">
        <v>23</v>
      </c>
    </row>
    <row r="510" spans="1:11" ht="42" customHeight="1">
      <c r="A510" s="2" t="s">
        <v>1341</v>
      </c>
      <c r="B510" s="2" t="s">
        <v>1342</v>
      </c>
      <c r="C510" s="2" t="s">
        <v>49</v>
      </c>
      <c r="D510" s="2" t="s">
        <v>44</v>
      </c>
      <c r="E510" s="5">
        <v>-30291</v>
      </c>
      <c r="F510" s="3" t="s">
        <v>1041</v>
      </c>
      <c r="G510" s="3" t="s">
        <v>20</v>
      </c>
      <c r="H510" s="2" t="s">
        <v>21</v>
      </c>
      <c r="I510" s="2" t="s">
        <v>1343</v>
      </c>
      <c r="J510" s="3" t="str">
        <f>HYPERLINK("https://www.boe.es/gazeta/dias/1817/01/23/pdfs/GMD-1817-10.pdf#page=7","Abrir facsímil")</f>
        <v>Abrir facsímil</v>
      </c>
      <c r="K510" s="3" t="s">
        <v>23</v>
      </c>
    </row>
    <row r="511" spans="1:11" ht="42" customHeight="1">
      <c r="A511" s="2" t="s">
        <v>1344</v>
      </c>
      <c r="B511" s="2" t="s">
        <v>1345</v>
      </c>
      <c r="C511" s="2" t="s">
        <v>36</v>
      </c>
      <c r="D511" s="2" t="s">
        <v>37</v>
      </c>
      <c r="E511" s="5">
        <v>-30219</v>
      </c>
      <c r="F511" s="3" t="s">
        <v>1346</v>
      </c>
      <c r="G511" s="3" t="s">
        <v>1347</v>
      </c>
      <c r="H511" s="2" t="s">
        <v>21</v>
      </c>
      <c r="I511" s="2" t="s">
        <v>1348</v>
      </c>
      <c r="J511" s="3" t="str">
        <f>HYPERLINK("https://www.boe.es/gazeta/dias/1817/04/05/pdfs/GMD-1817-41.pdf#page=8","Abrir facsímil")</f>
        <v>Abrir facsímil</v>
      </c>
      <c r="K511" s="3" t="s">
        <v>23</v>
      </c>
    </row>
    <row r="512" spans="1:11" ht="42" customHeight="1">
      <c r="A512" s="2" t="s">
        <v>1349</v>
      </c>
      <c r="B512" s="2" t="s">
        <v>1350</v>
      </c>
      <c r="C512" s="2" t="s">
        <v>43</v>
      </c>
      <c r="D512" s="2" t="s">
        <v>44</v>
      </c>
      <c r="E512" s="5">
        <v>-30279</v>
      </c>
      <c r="F512" s="3" t="s">
        <v>1113</v>
      </c>
      <c r="G512" s="3" t="s">
        <v>77</v>
      </c>
      <c r="H512" s="2" t="s">
        <v>21</v>
      </c>
      <c r="I512" s="2" t="s">
        <v>1351</v>
      </c>
      <c r="J512" s="3" t="str">
        <f>HYPERLINK("https://www.boe.es/gazeta/dias/1817/02/04/pdfs/GMD-1817-15.pdf#page=8","Abrir facsímil")</f>
        <v>Abrir facsímil</v>
      </c>
      <c r="K512" s="3" t="s">
        <v>23</v>
      </c>
    </row>
    <row r="513" spans="1:11" ht="42" customHeight="1">
      <c r="A513" s="2" t="s">
        <v>1352</v>
      </c>
      <c r="B513" s="2" t="s">
        <v>1352</v>
      </c>
      <c r="C513" s="2" t="s">
        <v>55</v>
      </c>
      <c r="D513" s="2" t="s">
        <v>44</v>
      </c>
      <c r="E513" s="5">
        <v>-29981</v>
      </c>
      <c r="F513" s="3" t="s">
        <v>111</v>
      </c>
      <c r="G513" s="3" t="s">
        <v>144</v>
      </c>
      <c r="H513" s="2" t="s">
        <v>21</v>
      </c>
      <c r="I513" s="2" t="s">
        <v>1353</v>
      </c>
      <c r="J513" s="3" t="str">
        <f>HYPERLINK("https://www.boe.es/gazeta/dias/1817/11/29/pdfs/GMD-1817-143.pdf#page=4","Abrir facsímil")</f>
        <v>Abrir facsímil</v>
      </c>
      <c r="K513" s="3" t="s">
        <v>23</v>
      </c>
    </row>
    <row r="514" spans="1:11" ht="42" customHeight="1">
      <c r="A514" s="2" t="s">
        <v>1354</v>
      </c>
      <c r="B514" s="2" t="s">
        <v>1355</v>
      </c>
      <c r="C514" s="2" t="s">
        <v>43</v>
      </c>
      <c r="D514" s="2" t="s">
        <v>44</v>
      </c>
      <c r="E514" s="5">
        <v>-29981</v>
      </c>
      <c r="F514" s="3" t="s">
        <v>111</v>
      </c>
      <c r="G514" s="3" t="s">
        <v>1356</v>
      </c>
      <c r="H514" s="2" t="s">
        <v>21</v>
      </c>
      <c r="I514" s="2" t="s">
        <v>1357</v>
      </c>
      <c r="J514" s="3" t="str">
        <f>HYPERLINK("https://www.boe.es/gazeta/dias/1817/11/29/pdfs/GMD-1817-143.pdf#page=8","Abrir facsímil")</f>
        <v>Abrir facsímil</v>
      </c>
      <c r="K514" s="3" t="s">
        <v>23</v>
      </c>
    </row>
    <row r="515" spans="1:11" ht="42" customHeight="1">
      <c r="A515" s="2" t="s">
        <v>1358</v>
      </c>
      <c r="B515" s="2" t="s">
        <v>1359</v>
      </c>
      <c r="C515" s="2" t="s">
        <v>17</v>
      </c>
      <c r="D515" s="2" t="s">
        <v>18</v>
      </c>
      <c r="E515" s="5">
        <v>-29985</v>
      </c>
      <c r="F515" s="3" t="s">
        <v>76</v>
      </c>
      <c r="G515" s="3" t="s">
        <v>112</v>
      </c>
      <c r="H515" s="2" t="s">
        <v>21</v>
      </c>
      <c r="I515" s="2" t="s">
        <v>1360</v>
      </c>
      <c r="J515" s="3" t="str">
        <f>HYPERLINK("https://www.boe.es/gazeta/dias/1817/11/25/pdfs/GMD-1817-141.pdf#page=11","Abrir facsímil")</f>
        <v>Abrir facsímil</v>
      </c>
      <c r="K515" s="3" t="s">
        <v>23</v>
      </c>
    </row>
    <row r="516" spans="1:11" ht="42" customHeight="1">
      <c r="A516" s="2" t="s">
        <v>1361</v>
      </c>
      <c r="B516" s="2" t="s">
        <v>1362</v>
      </c>
      <c r="C516" s="2" t="s">
        <v>49</v>
      </c>
      <c r="D516" s="2" t="s">
        <v>44</v>
      </c>
      <c r="E516" s="5">
        <v>-30142</v>
      </c>
      <c r="F516" s="3" t="s">
        <v>286</v>
      </c>
      <c r="G516" s="3" t="s">
        <v>144</v>
      </c>
      <c r="H516" s="2" t="s">
        <v>21</v>
      </c>
      <c r="I516" s="2" t="s">
        <v>1363</v>
      </c>
      <c r="J516" s="3" t="str">
        <f>HYPERLINK("https://www.boe.es/gazeta/dias/1817/06/21/pdfs/GMD-1817-74.pdf#page=4","Abrir facsímil")</f>
        <v>Abrir facsímil</v>
      </c>
      <c r="K516" s="3" t="s">
        <v>23</v>
      </c>
    </row>
    <row r="517" spans="1:11" ht="42" customHeight="1">
      <c r="A517" s="2" t="s">
        <v>1364</v>
      </c>
      <c r="B517" s="2" t="s">
        <v>1365</v>
      </c>
      <c r="C517" s="2" t="s">
        <v>36</v>
      </c>
      <c r="D517" s="2" t="s">
        <v>37</v>
      </c>
      <c r="E517" s="5">
        <v>-29983</v>
      </c>
      <c r="F517" s="3" t="s">
        <v>148</v>
      </c>
      <c r="G517" s="3" t="s">
        <v>551</v>
      </c>
      <c r="H517" s="2" t="s">
        <v>21</v>
      </c>
      <c r="I517" s="2" t="s">
        <v>1366</v>
      </c>
      <c r="J517" s="3" t="str">
        <f>HYPERLINK("https://www.boe.es/gazeta/dias/1817/11/27/pdfs/GMD-1817-142.pdf#page=3","Abrir facsímil")</f>
        <v>Abrir facsímil</v>
      </c>
      <c r="K517" s="3" t="s">
        <v>23</v>
      </c>
    </row>
    <row r="518" spans="1:11" ht="42" customHeight="1">
      <c r="A518" s="2" t="s">
        <v>1367</v>
      </c>
      <c r="B518" s="2" t="s">
        <v>1368</v>
      </c>
      <c r="C518" s="2" t="s">
        <v>36</v>
      </c>
      <c r="D518" s="2" t="s">
        <v>37</v>
      </c>
      <c r="E518" s="5">
        <v>-30300</v>
      </c>
      <c r="F518" s="3" t="s">
        <v>164</v>
      </c>
      <c r="G518" s="3" t="s">
        <v>57</v>
      </c>
      <c r="H518" s="2" t="s">
        <v>21</v>
      </c>
      <c r="I518" s="2" t="s">
        <v>1369</v>
      </c>
      <c r="J518" s="3" t="str">
        <f>HYPERLINK("https://www.boe.es/gazeta/dias/1817/01/14/pdfs/GMD-1817-6.pdf#page=6","Abrir facsímil")</f>
        <v>Abrir facsímil</v>
      </c>
      <c r="K518" s="3" t="s">
        <v>23</v>
      </c>
    </row>
    <row r="519" spans="1:11" ht="42" customHeight="1">
      <c r="A519" s="2" t="s">
        <v>1370</v>
      </c>
      <c r="B519" s="2" t="s">
        <v>1371</v>
      </c>
      <c r="C519" s="2" t="s">
        <v>36</v>
      </c>
      <c r="D519" s="2" t="s">
        <v>37</v>
      </c>
      <c r="E519" s="5">
        <v>-30286</v>
      </c>
      <c r="F519" s="3" t="s">
        <v>354</v>
      </c>
      <c r="G519" s="3" t="s">
        <v>77</v>
      </c>
      <c r="H519" s="2" t="s">
        <v>27</v>
      </c>
      <c r="I519" s="2" t="s">
        <v>1372</v>
      </c>
      <c r="J519" s="3" t="str">
        <f>HYPERLINK("https://www.boe.es/gazeta/dias/1817/01/28/pdfs/GMD-1817-12.pdf#page=8","Abrir facsímil")</f>
        <v>Abrir facsímil</v>
      </c>
      <c r="K519" s="3" t="s">
        <v>29</v>
      </c>
    </row>
    <row r="520" spans="1:11" ht="42" customHeight="1">
      <c r="A520" s="2" t="s">
        <v>1373</v>
      </c>
      <c r="B520" s="2" t="s">
        <v>1374</v>
      </c>
      <c r="C520" s="2" t="s">
        <v>36</v>
      </c>
      <c r="D520" s="2" t="s">
        <v>37</v>
      </c>
      <c r="E520" s="5">
        <v>-30081</v>
      </c>
      <c r="F520" s="3" t="s">
        <v>133</v>
      </c>
      <c r="G520" s="3" t="s">
        <v>82</v>
      </c>
      <c r="H520" s="2" t="s">
        <v>27</v>
      </c>
      <c r="I520" s="2" t="s">
        <v>1375</v>
      </c>
      <c r="J520" s="3" t="str">
        <f>HYPERLINK("https://www.boe.es/gazeta/dias/1817/08/21/pdfs/GMD-1817-100.pdf#page=12","Abrir facsímil")</f>
        <v>Abrir facsímil</v>
      </c>
      <c r="K520" s="3" t="s">
        <v>29</v>
      </c>
    </row>
    <row r="521" spans="1:11" ht="42" customHeight="1">
      <c r="A521" s="2" t="s">
        <v>1376</v>
      </c>
      <c r="B521" s="2" t="s">
        <v>1377</v>
      </c>
      <c r="C521" s="2" t="s">
        <v>36</v>
      </c>
      <c r="D521" s="2" t="s">
        <v>37</v>
      </c>
      <c r="E521" s="5">
        <v>-30046</v>
      </c>
      <c r="F521" s="3" t="s">
        <v>214</v>
      </c>
      <c r="G521" s="3" t="s">
        <v>57</v>
      </c>
      <c r="H521" s="2" t="s">
        <v>21</v>
      </c>
      <c r="I521" s="2" t="s">
        <v>1378</v>
      </c>
      <c r="J521" s="3" t="str">
        <f>HYPERLINK("https://www.boe.es/gazeta/dias/1817/09/25/pdfs/GMD-1817-115.pdf#page=6","Abrir facsímil")</f>
        <v>Abrir facsímil</v>
      </c>
      <c r="K521" s="3" t="s">
        <v>23</v>
      </c>
    </row>
    <row r="522" spans="1:11" ht="42" customHeight="1">
      <c r="A522" s="2" t="s">
        <v>1379</v>
      </c>
      <c r="B522" s="2" t="s">
        <v>1380</v>
      </c>
      <c r="C522" s="2" t="s">
        <v>43</v>
      </c>
      <c r="D522" s="2" t="s">
        <v>44</v>
      </c>
      <c r="E522" s="5">
        <v>-30044</v>
      </c>
      <c r="F522" s="3" t="s">
        <v>450</v>
      </c>
      <c r="G522" s="3" t="s">
        <v>1381</v>
      </c>
      <c r="H522" s="2" t="s">
        <v>21</v>
      </c>
      <c r="I522" s="2" t="s">
        <v>1382</v>
      </c>
      <c r="J522" s="3" t="str">
        <f>HYPERLINK("https://www.boe.es/gazeta/dias/1817/09/27/pdfs/GMD-1817-116.pdf#page=4","Abrir facsímil")</f>
        <v>Abrir facsímil</v>
      </c>
      <c r="K522" s="3" t="s">
        <v>23</v>
      </c>
    </row>
    <row r="523" spans="1:11" ht="42" customHeight="1">
      <c r="A523" s="2" t="s">
        <v>1383</v>
      </c>
      <c r="B523" s="2" t="s">
        <v>1384</v>
      </c>
      <c r="C523" s="2" t="s">
        <v>55</v>
      </c>
      <c r="D523" s="2" t="s">
        <v>44</v>
      </c>
      <c r="E523" s="5">
        <v>-30058</v>
      </c>
      <c r="F523" s="3" t="s">
        <v>1385</v>
      </c>
      <c r="G523" s="3" t="s">
        <v>57</v>
      </c>
      <c r="H523" s="2" t="s">
        <v>21</v>
      </c>
      <c r="I523" s="2" t="s">
        <v>1386</v>
      </c>
      <c r="J523" s="3" t="str">
        <f>HYPERLINK("https://www.boe.es/gazeta/dias/1817/09/13/pdfs/GMD-1817-110.pdf#page=6","Abrir facsímil")</f>
        <v>Abrir facsímil</v>
      </c>
      <c r="K523" s="3" t="s">
        <v>23</v>
      </c>
    </row>
    <row r="524" spans="1:11" ht="42" customHeight="1">
      <c r="A524" s="2" t="s">
        <v>1387</v>
      </c>
      <c r="B524" s="2" t="s">
        <v>1387</v>
      </c>
      <c r="C524" s="2" t="s">
        <v>36</v>
      </c>
      <c r="D524" s="2" t="s">
        <v>37</v>
      </c>
      <c r="E524" s="5">
        <v>-30065</v>
      </c>
      <c r="F524" s="3" t="s">
        <v>201</v>
      </c>
      <c r="G524" s="3" t="s">
        <v>57</v>
      </c>
      <c r="H524" s="2" t="s">
        <v>21</v>
      </c>
      <c r="I524" s="2" t="s">
        <v>1388</v>
      </c>
      <c r="J524" s="3" t="str">
        <f>HYPERLINK("https://www.boe.es/gazeta/dias/1817/09/06/pdfs/GMD-1817-107.pdf#page=6","Abrir facsímil")</f>
        <v>Abrir facsímil</v>
      </c>
      <c r="K524" s="3" t="s">
        <v>23</v>
      </c>
    </row>
    <row r="525" spans="1:11" ht="42" customHeight="1">
      <c r="A525" s="2" t="s">
        <v>1389</v>
      </c>
      <c r="B525" s="2" t="s">
        <v>1390</v>
      </c>
      <c r="C525" s="2" t="s">
        <v>36</v>
      </c>
      <c r="D525" s="2" t="s">
        <v>37</v>
      </c>
      <c r="E525" s="5">
        <v>-30011</v>
      </c>
      <c r="F525" s="3" t="s">
        <v>313</v>
      </c>
      <c r="G525" s="3" t="s">
        <v>551</v>
      </c>
      <c r="H525" s="2" t="s">
        <v>21</v>
      </c>
      <c r="I525" s="2" t="s">
        <v>1391</v>
      </c>
      <c r="J525" s="3" t="str">
        <f>HYPERLINK("https://www.boe.es/gazeta/dias/1817/10/30/pdfs/GMD-1817-130.pdf#page=3","Abrir facsímil")</f>
        <v>Abrir facsímil</v>
      </c>
      <c r="K525" s="3" t="s">
        <v>23</v>
      </c>
    </row>
    <row r="526" spans="1:11" ht="42" customHeight="1">
      <c r="A526" s="2" t="s">
        <v>1392</v>
      </c>
      <c r="B526" s="2" t="s">
        <v>1393</v>
      </c>
      <c r="C526" s="2" t="s">
        <v>97</v>
      </c>
      <c r="D526" s="2" t="s">
        <v>44</v>
      </c>
      <c r="E526" s="5">
        <v>-30090</v>
      </c>
      <c r="F526" s="3" t="s">
        <v>89</v>
      </c>
      <c r="G526" s="3" t="s">
        <v>77</v>
      </c>
      <c r="H526" s="2" t="s">
        <v>21</v>
      </c>
      <c r="I526" s="2" t="s">
        <v>1394</v>
      </c>
      <c r="J526" s="3" t="str">
        <f>HYPERLINK("https://www.boe.es/gazeta/dias/1817/08/12/pdfs/GMD-1817-96.pdf#page=8","Abrir facsímil")</f>
        <v>Abrir facsímil</v>
      </c>
      <c r="K526" s="3" t="s">
        <v>23</v>
      </c>
    </row>
    <row r="527" spans="1:11" ht="42" customHeight="1">
      <c r="A527" s="2" t="s">
        <v>1395</v>
      </c>
      <c r="B527" s="2" t="s">
        <v>1395</v>
      </c>
      <c r="C527" s="2" t="s">
        <v>36</v>
      </c>
      <c r="D527" s="2" t="s">
        <v>37</v>
      </c>
      <c r="E527" s="5">
        <v>-30216</v>
      </c>
      <c r="F527" s="3" t="s">
        <v>344</v>
      </c>
      <c r="G527" s="3" t="s">
        <v>72</v>
      </c>
      <c r="H527" s="2" t="s">
        <v>21</v>
      </c>
      <c r="I527" s="2" t="s">
        <v>1396</v>
      </c>
      <c r="J527" s="3" t="str">
        <f>HYPERLINK("https://www.boe.es/gazeta/dias/1817/04/08/pdfs/GMD-1817-42.pdf#page=1","Abrir facsímil")</f>
        <v>Abrir facsímil</v>
      </c>
      <c r="K527" s="3" t="s">
        <v>23</v>
      </c>
    </row>
    <row r="528" spans="1:11" ht="42" customHeight="1">
      <c r="A528" s="2" t="s">
        <v>1397</v>
      </c>
      <c r="B528" s="2" t="s">
        <v>1397</v>
      </c>
      <c r="C528" s="2" t="s">
        <v>510</v>
      </c>
      <c r="D528" s="2" t="s">
        <v>44</v>
      </c>
      <c r="E528" s="5">
        <v>-29960</v>
      </c>
      <c r="F528" s="3" t="s">
        <v>657</v>
      </c>
      <c r="G528" s="3" t="s">
        <v>887</v>
      </c>
      <c r="H528" s="2" t="s">
        <v>21</v>
      </c>
      <c r="I528" s="2" t="s">
        <v>1398</v>
      </c>
      <c r="J528" s="3" t="str">
        <f>HYPERLINK("https://www.boe.es/gazeta/dias/1817/12/20/pdfs/GMD-1817-152.pdf#page=9","Abrir facsímil")</f>
        <v>Abrir facsímil</v>
      </c>
      <c r="K528" s="3" t="s">
        <v>23</v>
      </c>
    </row>
    <row r="529" spans="1:11" ht="42" customHeight="1">
      <c r="A529" s="2" t="s">
        <v>1399</v>
      </c>
      <c r="B529" s="2" t="s">
        <v>1400</v>
      </c>
      <c r="C529" s="2" t="s">
        <v>510</v>
      </c>
      <c r="D529" s="2" t="s">
        <v>44</v>
      </c>
      <c r="E529" s="5">
        <v>-30312</v>
      </c>
      <c r="F529" s="3" t="s">
        <v>86</v>
      </c>
      <c r="G529" s="3" t="s">
        <v>87</v>
      </c>
      <c r="H529" s="2" t="s">
        <v>21</v>
      </c>
      <c r="I529" s="2" t="s">
        <v>1401</v>
      </c>
      <c r="J529" s="3" t="str">
        <f>HYPERLINK("https://www.boe.es/gazeta/dias/1817/01/02/pdfs/GMD-1817-1.pdf#page=4","Abrir facsímil")</f>
        <v>Abrir facsímil</v>
      </c>
      <c r="K529" s="3" t="s">
        <v>23</v>
      </c>
    </row>
    <row r="530" spans="1:11" ht="42" customHeight="1">
      <c r="A530" s="2" t="s">
        <v>1402</v>
      </c>
      <c r="B530" s="2" t="s">
        <v>1403</v>
      </c>
      <c r="C530" s="2" t="s">
        <v>17</v>
      </c>
      <c r="D530" s="2" t="s">
        <v>18</v>
      </c>
      <c r="E530" s="5">
        <v>-29960</v>
      </c>
      <c r="F530" s="3" t="s">
        <v>657</v>
      </c>
      <c r="G530" s="3" t="s">
        <v>887</v>
      </c>
      <c r="H530" s="2" t="s">
        <v>21</v>
      </c>
      <c r="I530" s="2" t="s">
        <v>1404</v>
      </c>
      <c r="J530" s="3" t="str">
        <f>HYPERLINK("https://www.boe.es/gazeta/dias/1817/12/20/pdfs/GMD-1817-152.pdf#page=9","Abrir facsímil")</f>
        <v>Abrir facsímil</v>
      </c>
      <c r="K530" s="3" t="s">
        <v>23</v>
      </c>
    </row>
    <row r="531" spans="1:11" ht="42" customHeight="1">
      <c r="A531" s="2" t="s">
        <v>1405</v>
      </c>
      <c r="B531" s="2" t="s">
        <v>1406</v>
      </c>
      <c r="C531" s="2" t="s">
        <v>36</v>
      </c>
      <c r="D531" s="2" t="s">
        <v>37</v>
      </c>
      <c r="E531" s="5">
        <v>-30025</v>
      </c>
      <c r="F531" s="3" t="s">
        <v>458</v>
      </c>
      <c r="G531" s="3" t="s">
        <v>39</v>
      </c>
      <c r="H531" s="2" t="s">
        <v>21</v>
      </c>
      <c r="I531" s="2" t="s">
        <v>1407</v>
      </c>
      <c r="J531" s="3" t="str">
        <f>HYPERLINK("https://www.boe.es/gazeta/dias/1817/10/16/pdfs/GMD-1817-124.pdf#page=5","Abrir facsímil")</f>
        <v>Abrir facsímil</v>
      </c>
      <c r="K531" s="3" t="s">
        <v>23</v>
      </c>
    </row>
    <row r="532" spans="1:11" ht="42" customHeight="1">
      <c r="A532" s="2" t="s">
        <v>1408</v>
      </c>
      <c r="B532" s="2" t="s">
        <v>1409</v>
      </c>
      <c r="C532" s="2" t="s">
        <v>17</v>
      </c>
      <c r="D532" s="2" t="s">
        <v>18</v>
      </c>
      <c r="E532" s="5">
        <v>-30265</v>
      </c>
      <c r="F532" s="3" t="s">
        <v>107</v>
      </c>
      <c r="G532" s="3" t="s">
        <v>298</v>
      </c>
      <c r="H532" s="2" t="s">
        <v>21</v>
      </c>
      <c r="I532" s="2" t="s">
        <v>1410</v>
      </c>
      <c r="J532" s="3" t="str">
        <f>HYPERLINK("https://www.boe.es/gazeta/dias/1817/02/18/pdfs/GMD-1817-21.pdf#page=6","Abrir facsímil")</f>
        <v>Abrir facsímil</v>
      </c>
      <c r="K532" s="3" t="s">
        <v>23</v>
      </c>
    </row>
    <row r="533" spans="1:11" ht="42" customHeight="1">
      <c r="A533" s="2" t="s">
        <v>1411</v>
      </c>
      <c r="B533" s="2" t="s">
        <v>1412</v>
      </c>
      <c r="C533" s="2" t="s">
        <v>43</v>
      </c>
      <c r="D533" s="2" t="s">
        <v>44</v>
      </c>
      <c r="E533" s="5">
        <v>-30303</v>
      </c>
      <c r="F533" s="3" t="s">
        <v>407</v>
      </c>
      <c r="G533" s="3" t="s">
        <v>39</v>
      </c>
      <c r="H533" s="2" t="s">
        <v>21</v>
      </c>
      <c r="I533" s="2" t="s">
        <v>1413</v>
      </c>
      <c r="J533" s="3" t="str">
        <f>HYPERLINK("https://www.boe.es/gazeta/dias/1817/01/11/pdfs/GMD-1817-5.pdf#page=5","Abrir facsímil")</f>
        <v>Abrir facsímil</v>
      </c>
      <c r="K533" s="3" t="s">
        <v>23</v>
      </c>
    </row>
    <row r="534" spans="1:11" ht="42" customHeight="1">
      <c r="A534" s="2" t="s">
        <v>1414</v>
      </c>
      <c r="B534" s="2" t="s">
        <v>1415</v>
      </c>
      <c r="C534" s="2" t="s">
        <v>36</v>
      </c>
      <c r="D534" s="2" t="s">
        <v>37</v>
      </c>
      <c r="E534" s="5">
        <v>-29981</v>
      </c>
      <c r="F534" s="3" t="s">
        <v>111</v>
      </c>
      <c r="G534" s="3" t="s">
        <v>20</v>
      </c>
      <c r="H534" s="2" t="s">
        <v>21</v>
      </c>
      <c r="I534" s="2" t="s">
        <v>1416</v>
      </c>
      <c r="J534" s="3" t="str">
        <f>HYPERLINK("https://www.boe.es/gazeta/dias/1817/11/29/pdfs/GMD-1817-143.pdf#page=7","Abrir facsímil")</f>
        <v>Abrir facsímil</v>
      </c>
      <c r="K534" s="3" t="s">
        <v>23</v>
      </c>
    </row>
    <row r="535" spans="1:11" ht="42" customHeight="1">
      <c r="A535" s="2" t="s">
        <v>1417</v>
      </c>
      <c r="B535" s="2" t="s">
        <v>1418</v>
      </c>
      <c r="C535" s="2" t="s">
        <v>36</v>
      </c>
      <c r="D535" s="2" t="s">
        <v>37</v>
      </c>
      <c r="E535" s="5">
        <v>-30109</v>
      </c>
      <c r="F535" s="3" t="s">
        <v>205</v>
      </c>
      <c r="G535" s="3" t="s">
        <v>314</v>
      </c>
      <c r="H535" s="2" t="s">
        <v>21</v>
      </c>
      <c r="I535" s="2" t="s">
        <v>1419</v>
      </c>
      <c r="J535" s="3" t="str">
        <f>HYPERLINK("https://www.boe.es/gazeta/dias/1817/07/24/pdfs/GMD-1817-88.pdf#page=10","Abrir facsímil")</f>
        <v>Abrir facsímil</v>
      </c>
      <c r="K535" s="3" t="s">
        <v>23</v>
      </c>
    </row>
    <row r="536" spans="1:11" ht="42" customHeight="1">
      <c r="A536" s="2" t="s">
        <v>1420</v>
      </c>
      <c r="B536" s="2" t="s">
        <v>1421</v>
      </c>
      <c r="C536" s="2" t="s">
        <v>43</v>
      </c>
      <c r="D536" s="2" t="s">
        <v>44</v>
      </c>
      <c r="E536" s="5">
        <v>-30151</v>
      </c>
      <c r="F536" s="3" t="s">
        <v>1422</v>
      </c>
      <c r="G536" s="3" t="s">
        <v>39</v>
      </c>
      <c r="H536" s="2" t="s">
        <v>21</v>
      </c>
      <c r="I536" s="2" t="s">
        <v>1423</v>
      </c>
      <c r="J536" s="3" t="str">
        <f>HYPERLINK("https://www.boe.es/gazeta/dias/1817/06/12/pdfs/GMD-1817-70.pdf#page=5","Abrir facsímil")</f>
        <v>Abrir facsímil</v>
      </c>
      <c r="K536" s="3" t="s">
        <v>23</v>
      </c>
    </row>
    <row r="537" spans="1:11" ht="42" customHeight="1">
      <c r="A537" s="2" t="s">
        <v>1424</v>
      </c>
      <c r="B537" s="2" t="s">
        <v>1425</v>
      </c>
      <c r="C537" s="2" t="s">
        <v>43</v>
      </c>
      <c r="D537" s="2" t="s">
        <v>44</v>
      </c>
      <c r="E537" s="5">
        <v>-30044</v>
      </c>
      <c r="F537" s="3" t="s">
        <v>450</v>
      </c>
      <c r="G537" s="3" t="s">
        <v>1381</v>
      </c>
      <c r="H537" s="2" t="s">
        <v>21</v>
      </c>
      <c r="I537" s="2" t="s">
        <v>1426</v>
      </c>
      <c r="J537" s="3" t="str">
        <f>HYPERLINK("https://www.boe.es/gazeta/dias/1817/09/27/pdfs/GMD-1817-116.pdf#page=4","Abrir facsímil")</f>
        <v>Abrir facsímil</v>
      </c>
      <c r="K537" s="3" t="s">
        <v>23</v>
      </c>
    </row>
    <row r="538" spans="1:11" ht="42" customHeight="1">
      <c r="A538" s="2" t="s">
        <v>1427</v>
      </c>
      <c r="B538" s="2" t="s">
        <v>1428</v>
      </c>
      <c r="C538" s="2" t="s">
        <v>36</v>
      </c>
      <c r="D538" s="2" t="s">
        <v>37</v>
      </c>
      <c r="E538" s="5">
        <v>-30002</v>
      </c>
      <c r="F538" s="3" t="s">
        <v>469</v>
      </c>
      <c r="G538" s="3" t="s">
        <v>144</v>
      </c>
      <c r="H538" s="2" t="s">
        <v>21</v>
      </c>
      <c r="I538" s="2" t="s">
        <v>1429</v>
      </c>
      <c r="J538" s="3" t="str">
        <f>HYPERLINK("https://www.boe.es/gazeta/dias/1817/11/08/pdfs/GMD-1817-134.pdf#page=4","Abrir facsímil")</f>
        <v>Abrir facsímil</v>
      </c>
      <c r="K538" s="3" t="s">
        <v>23</v>
      </c>
    </row>
    <row r="539" spans="1:11" ht="42" customHeight="1">
      <c r="A539" s="2" t="s">
        <v>1430</v>
      </c>
      <c r="B539" s="2" t="s">
        <v>1430</v>
      </c>
      <c r="C539" s="2" t="s">
        <v>36</v>
      </c>
      <c r="D539" s="2" t="s">
        <v>37</v>
      </c>
      <c r="E539" s="5">
        <v>-29950</v>
      </c>
      <c r="F539" s="3" t="s">
        <v>185</v>
      </c>
      <c r="G539" s="3" t="s">
        <v>39</v>
      </c>
      <c r="H539" s="2" t="s">
        <v>21</v>
      </c>
      <c r="I539" s="2" t="s">
        <v>1431</v>
      </c>
      <c r="J539" s="3" t="str">
        <f>HYPERLINK("https://www.boe.es/gazeta/dias/1817/12/30/pdfs/GMD-1817-156.pdf#page=5","Abrir facsímil")</f>
        <v>Abrir facsímil</v>
      </c>
      <c r="K539" s="3" t="s">
        <v>23</v>
      </c>
    </row>
    <row r="540" spans="1:11" ht="42" customHeight="1">
      <c r="A540" s="2" t="s">
        <v>1432</v>
      </c>
      <c r="B540" s="2" t="s">
        <v>1433</v>
      </c>
      <c r="C540" s="2" t="s">
        <v>36</v>
      </c>
      <c r="D540" s="2" t="s">
        <v>37</v>
      </c>
      <c r="E540" s="5">
        <v>-30298</v>
      </c>
      <c r="F540" s="3" t="s">
        <v>489</v>
      </c>
      <c r="G540" s="3" t="s">
        <v>644</v>
      </c>
      <c r="H540" s="2" t="s">
        <v>21</v>
      </c>
      <c r="I540" s="2" t="s">
        <v>1434</v>
      </c>
      <c r="J540" s="3" t="str">
        <f>HYPERLINK("https://www.boe.es/gazeta/dias/1817/01/16/pdfs/GMD-1817-7.pdf#page=5","Abrir facsímil")</f>
        <v>Abrir facsímil</v>
      </c>
      <c r="K540" s="3" t="s">
        <v>23</v>
      </c>
    </row>
    <row r="541" spans="1:11" ht="42" customHeight="1">
      <c r="A541" s="2" t="s">
        <v>1435</v>
      </c>
      <c r="B541" s="2" t="s">
        <v>1436</v>
      </c>
      <c r="C541" s="2" t="s">
        <v>43</v>
      </c>
      <c r="D541" s="2" t="s">
        <v>44</v>
      </c>
      <c r="E541" s="5">
        <v>-30184</v>
      </c>
      <c r="F541" s="3" t="s">
        <v>423</v>
      </c>
      <c r="G541" s="3" t="s">
        <v>1437</v>
      </c>
      <c r="H541" s="2" t="s">
        <v>21</v>
      </c>
      <c r="I541" s="2" t="s">
        <v>1438</v>
      </c>
      <c r="J541" s="3" t="str">
        <f>HYPERLINK("https://www.boe.es/gazeta/dias/1817/05/10/pdfs/GMD-1817-56.pdf#page=6","Abrir facsímil")</f>
        <v>Abrir facsímil</v>
      </c>
      <c r="K541" s="3" t="s">
        <v>23</v>
      </c>
    </row>
    <row r="542" spans="1:11" ht="42" customHeight="1">
      <c r="A542" s="2" t="s">
        <v>1439</v>
      </c>
      <c r="B542" s="2" t="s">
        <v>1439</v>
      </c>
      <c r="C542" s="2" t="s">
        <v>17</v>
      </c>
      <c r="D542" s="2" t="s">
        <v>18</v>
      </c>
      <c r="E542" s="5">
        <v>-30102</v>
      </c>
      <c r="F542" s="3" t="s">
        <v>502</v>
      </c>
      <c r="G542" s="3" t="s">
        <v>20</v>
      </c>
      <c r="H542" s="2" t="s">
        <v>21</v>
      </c>
      <c r="I542" s="2" t="s">
        <v>1440</v>
      </c>
      <c r="J542" s="3" t="str">
        <f>HYPERLINK("https://www.boe.es/gazeta/dias/1817/07/31/pdfs/GMD-1817-91.pdf#page=7","Abrir facsímil")</f>
        <v>Abrir facsímil</v>
      </c>
      <c r="K542" s="3" t="s">
        <v>23</v>
      </c>
    </row>
    <row r="543" spans="1:11" ht="42" customHeight="1">
      <c r="A543" s="2" t="s">
        <v>1441</v>
      </c>
      <c r="B543" s="2" t="s">
        <v>1442</v>
      </c>
      <c r="C543" s="2" t="s">
        <v>55</v>
      </c>
      <c r="D543" s="2" t="s">
        <v>44</v>
      </c>
      <c r="E543" s="5">
        <v>-30228</v>
      </c>
      <c r="F543" s="3" t="s">
        <v>383</v>
      </c>
      <c r="G543" s="3" t="s">
        <v>57</v>
      </c>
      <c r="H543" s="2" t="s">
        <v>21</v>
      </c>
      <c r="I543" s="2" t="s">
        <v>1443</v>
      </c>
      <c r="J543" s="3" t="str">
        <f>HYPERLINK("https://www.boe.es/gazeta/dias/1817/03/27/pdfs/GMD-1817-37.pdf#page=6","Abrir facsímil")</f>
        <v>Abrir facsímil</v>
      </c>
      <c r="K543" s="3" t="s">
        <v>23</v>
      </c>
    </row>
    <row r="544" spans="1:11" ht="42" customHeight="1">
      <c r="A544" s="2" t="s">
        <v>1444</v>
      </c>
      <c r="B544" s="2" t="s">
        <v>1445</v>
      </c>
      <c r="C544" s="2" t="s">
        <v>97</v>
      </c>
      <c r="D544" s="2" t="s">
        <v>44</v>
      </c>
      <c r="E544" s="5">
        <v>-30048</v>
      </c>
      <c r="F544" s="3" t="s">
        <v>573</v>
      </c>
      <c r="G544" s="3" t="s">
        <v>77</v>
      </c>
      <c r="H544" s="2" t="s">
        <v>21</v>
      </c>
      <c r="I544" s="2" t="s">
        <v>1446</v>
      </c>
      <c r="J544" s="3" t="str">
        <f>HYPERLINK("https://www.boe.es/gazeta/dias/1817/09/23/pdfs/GMD-1817-114.pdf#page=8","Abrir facsímil")</f>
        <v>Abrir facsímil</v>
      </c>
      <c r="K544" s="3" t="s">
        <v>23</v>
      </c>
    </row>
    <row r="545" spans="1:11" ht="42" customHeight="1">
      <c r="A545" s="2" t="s">
        <v>1447</v>
      </c>
      <c r="B545" s="2" t="s">
        <v>1448</v>
      </c>
      <c r="C545" s="2" t="s">
        <v>36</v>
      </c>
      <c r="D545" s="2" t="s">
        <v>37</v>
      </c>
      <c r="E545" s="5">
        <v>-30081</v>
      </c>
      <c r="F545" s="3" t="s">
        <v>133</v>
      </c>
      <c r="G545" s="3" t="s">
        <v>57</v>
      </c>
      <c r="H545" s="2" t="s">
        <v>21</v>
      </c>
      <c r="I545" s="2" t="s">
        <v>1449</v>
      </c>
      <c r="J545" s="3" t="str">
        <f>HYPERLINK("https://www.boe.es/gazeta/dias/1817/08/21/pdfs/GMD-1817-100.pdf#page=6","Abrir facsímil")</f>
        <v>Abrir facsímil</v>
      </c>
      <c r="K545" s="3" t="s">
        <v>23</v>
      </c>
    </row>
    <row r="546" spans="1:11" ht="42" customHeight="1">
      <c r="A546" s="2" t="s">
        <v>1447</v>
      </c>
      <c r="B546" s="2" t="s">
        <v>1448</v>
      </c>
      <c r="C546" s="2" t="s">
        <v>36</v>
      </c>
      <c r="D546" s="2" t="s">
        <v>37</v>
      </c>
      <c r="E546" s="5">
        <v>-30081</v>
      </c>
      <c r="F546" s="3" t="s">
        <v>133</v>
      </c>
      <c r="G546" s="3" t="s">
        <v>77</v>
      </c>
      <c r="H546" s="2" t="s">
        <v>21</v>
      </c>
      <c r="I546" s="2" t="s">
        <v>1450</v>
      </c>
      <c r="J546" s="3" t="str">
        <f>HYPERLINK("https://www.boe.es/gazeta/dias/1817/08/21/pdfs/GMD-1817-100.pdf#page=8","Abrir facsímil")</f>
        <v>Abrir facsímil</v>
      </c>
      <c r="K546" s="3" t="s">
        <v>23</v>
      </c>
    </row>
    <row r="547" spans="1:11" ht="42" customHeight="1">
      <c r="A547" s="2" t="s">
        <v>1451</v>
      </c>
      <c r="B547" s="2" t="s">
        <v>1452</v>
      </c>
      <c r="C547" s="2" t="s">
        <v>43</v>
      </c>
      <c r="D547" s="2" t="s">
        <v>44</v>
      </c>
      <c r="E547" s="5">
        <v>-29964</v>
      </c>
      <c r="F547" s="3" t="s">
        <v>482</v>
      </c>
      <c r="G547" s="3" t="s">
        <v>1453</v>
      </c>
      <c r="H547" s="2" t="s">
        <v>21</v>
      </c>
      <c r="I547" s="2" t="s">
        <v>1454</v>
      </c>
      <c r="J547" s="3" t="str">
        <f>HYPERLINK("https://www.boe.es/gazeta/dias/1817/12/16/pdfs/GMD-1817-150.pdf#page=2","Abrir facsímil")</f>
        <v>Abrir facsímil</v>
      </c>
      <c r="K547" s="3" t="s">
        <v>23</v>
      </c>
    </row>
    <row r="548" spans="1:11" ht="42" customHeight="1">
      <c r="A548" s="2" t="s">
        <v>1455</v>
      </c>
      <c r="B548" s="2" t="s">
        <v>1455</v>
      </c>
      <c r="C548" s="2" t="s">
        <v>17</v>
      </c>
      <c r="D548" s="2" t="s">
        <v>18</v>
      </c>
      <c r="E548" s="5">
        <v>-30272</v>
      </c>
      <c r="F548" s="3" t="s">
        <v>493</v>
      </c>
      <c r="G548" s="3" t="s">
        <v>629</v>
      </c>
      <c r="H548" s="2" t="s">
        <v>21</v>
      </c>
      <c r="I548" s="2" t="s">
        <v>1456</v>
      </c>
      <c r="J548" s="3" t="str">
        <f>HYPERLINK("https://www.boe.es/gazeta/dias/1817/02/11/pdfs/GMD-1817-18.pdf#page=2","Abrir facsímil")</f>
        <v>Abrir facsímil</v>
      </c>
      <c r="K548" s="3" t="s">
        <v>23</v>
      </c>
    </row>
    <row r="549" spans="1:11" ht="42" customHeight="1">
      <c r="A549" s="2" t="s">
        <v>1457</v>
      </c>
      <c r="B549" s="2" t="s">
        <v>1457</v>
      </c>
      <c r="C549" s="2" t="s">
        <v>36</v>
      </c>
      <c r="D549" s="2" t="s">
        <v>37</v>
      </c>
      <c r="E549" s="5">
        <v>-30041</v>
      </c>
      <c r="F549" s="3" t="s">
        <v>260</v>
      </c>
      <c r="G549" s="3" t="s">
        <v>1151</v>
      </c>
      <c r="H549" s="2" t="s">
        <v>21</v>
      </c>
      <c r="I549" s="2" t="s">
        <v>1458</v>
      </c>
      <c r="J549" s="3" t="str">
        <f>HYPERLINK("https://www.boe.es/gazeta/dias/1817/09/30/pdfs/GMD-1817-117.pdf#page=4","Abrir facsímil")</f>
        <v>Abrir facsímil</v>
      </c>
      <c r="K549" s="3" t="s">
        <v>23</v>
      </c>
    </row>
    <row r="550" spans="1:11" ht="42" customHeight="1">
      <c r="A550" s="2" t="s">
        <v>1459</v>
      </c>
      <c r="B550" s="2" t="s">
        <v>1460</v>
      </c>
      <c r="C550" s="2" t="s">
        <v>36</v>
      </c>
      <c r="D550" s="2" t="s">
        <v>37</v>
      </c>
      <c r="E550" s="5">
        <v>-30109</v>
      </c>
      <c r="F550" s="3" t="s">
        <v>205</v>
      </c>
      <c r="G550" s="3" t="s">
        <v>311</v>
      </c>
      <c r="H550" s="2" t="s">
        <v>21</v>
      </c>
      <c r="I550" s="2" t="s">
        <v>1461</v>
      </c>
      <c r="J550" s="3" t="str">
        <f>HYPERLINK("https://www.boe.es/gazeta/dias/1817/07/24/pdfs/GMD-1817-88.pdf#page=12","Abrir facsímil")</f>
        <v>Abrir facsímil</v>
      </c>
      <c r="K550" s="3" t="s">
        <v>23</v>
      </c>
    </row>
    <row r="551" spans="1:11" ht="42" customHeight="1">
      <c r="A551" s="2" t="s">
        <v>1462</v>
      </c>
      <c r="B551" s="2" t="s">
        <v>1463</v>
      </c>
      <c r="C551" s="2" t="s">
        <v>36</v>
      </c>
      <c r="D551" s="2" t="s">
        <v>37</v>
      </c>
      <c r="E551" s="5">
        <v>-30109</v>
      </c>
      <c r="F551" s="3" t="s">
        <v>205</v>
      </c>
      <c r="G551" s="3" t="s">
        <v>1464</v>
      </c>
      <c r="H551" s="2" t="s">
        <v>21</v>
      </c>
      <c r="I551" s="2" t="s">
        <v>1465</v>
      </c>
      <c r="J551" s="3" t="str">
        <f>HYPERLINK("https://www.boe.es/gazeta/dias/1817/07/24/pdfs/GMD-1817-88.pdf#page=13","Abrir facsímil")</f>
        <v>Abrir facsímil</v>
      </c>
      <c r="K551" s="3" t="s">
        <v>23</v>
      </c>
    </row>
    <row r="552" spans="1:11" ht="42" customHeight="1">
      <c r="A552" s="2" t="s">
        <v>1466</v>
      </c>
      <c r="B552" s="2" t="s">
        <v>1467</v>
      </c>
      <c r="C552" s="2" t="s">
        <v>36</v>
      </c>
      <c r="D552" s="2" t="s">
        <v>37</v>
      </c>
      <c r="E552" s="5">
        <v>-30109</v>
      </c>
      <c r="F552" s="3" t="s">
        <v>205</v>
      </c>
      <c r="G552" s="3" t="s">
        <v>1464</v>
      </c>
      <c r="H552" s="2" t="s">
        <v>21</v>
      </c>
      <c r="I552" s="2" t="s">
        <v>1468</v>
      </c>
      <c r="J552" s="3" t="str">
        <f>HYPERLINK("https://www.boe.es/gazeta/dias/1817/07/24/pdfs/GMD-1817-88.pdf#page=13","Abrir facsímil")</f>
        <v>Abrir facsímil</v>
      </c>
      <c r="K552" s="3" t="s">
        <v>23</v>
      </c>
    </row>
    <row r="553" spans="1:11" ht="42" customHeight="1">
      <c r="A553" s="2" t="s">
        <v>1469</v>
      </c>
      <c r="B553" s="2" t="s">
        <v>1470</v>
      </c>
      <c r="C553" s="2" t="s">
        <v>55</v>
      </c>
      <c r="D553" s="2" t="s">
        <v>44</v>
      </c>
      <c r="E553" s="5">
        <v>-30074</v>
      </c>
      <c r="F553" s="3" t="s">
        <v>368</v>
      </c>
      <c r="G553" s="3" t="s">
        <v>369</v>
      </c>
      <c r="H553" s="2" t="s">
        <v>21</v>
      </c>
      <c r="I553" s="2" t="s">
        <v>1471</v>
      </c>
      <c r="J553" s="3" t="str">
        <f>HYPERLINK("https://www.boe.es/gazeta/dias/1817/08/28/pdfs/GMD-1817-103.pdf#page=12","Abrir facsímil")</f>
        <v>Abrir facsímil</v>
      </c>
      <c r="K553" s="3" t="s">
        <v>23</v>
      </c>
    </row>
    <row r="554" spans="1:11" ht="42" customHeight="1">
      <c r="A554" s="2" t="s">
        <v>1472</v>
      </c>
      <c r="B554" s="2" t="s">
        <v>1473</v>
      </c>
      <c r="C554" s="2" t="s">
        <v>36</v>
      </c>
      <c r="D554" s="2" t="s">
        <v>37</v>
      </c>
      <c r="E554" s="5">
        <v>-30125</v>
      </c>
      <c r="F554" s="3" t="s">
        <v>102</v>
      </c>
      <c r="G554" s="3" t="s">
        <v>20</v>
      </c>
      <c r="H554" s="2" t="s">
        <v>21</v>
      </c>
      <c r="I554" s="2" t="s">
        <v>1474</v>
      </c>
      <c r="J554" s="3" t="str">
        <f>HYPERLINK("https://www.boe.es/gazeta/dias/1817/07/08/pdfs/GMD-1817-81.pdf#page=7","Abrir facsímil")</f>
        <v>Abrir facsímil</v>
      </c>
      <c r="K554" s="3" t="s">
        <v>23</v>
      </c>
    </row>
    <row r="555" spans="1:11" ht="42" customHeight="1">
      <c r="A555" s="2" t="s">
        <v>1472</v>
      </c>
      <c r="B555" s="2" t="s">
        <v>1473</v>
      </c>
      <c r="C555" s="2" t="s">
        <v>36</v>
      </c>
      <c r="D555" s="2" t="s">
        <v>37</v>
      </c>
      <c r="E555" s="5">
        <v>-30109</v>
      </c>
      <c r="F555" s="3" t="s">
        <v>205</v>
      </c>
      <c r="G555" s="3" t="s">
        <v>887</v>
      </c>
      <c r="H555" s="2" t="s">
        <v>21</v>
      </c>
      <c r="I555" s="2" t="s">
        <v>1475</v>
      </c>
      <c r="J555" s="3" t="str">
        <f>HYPERLINK("https://www.boe.es/gazeta/dias/1817/07/24/pdfs/GMD-1817-88.pdf#page=9","Abrir facsímil")</f>
        <v>Abrir facsímil</v>
      </c>
      <c r="K555" s="3" t="s">
        <v>23</v>
      </c>
    </row>
    <row r="556" spans="1:11" ht="42" customHeight="1">
      <c r="A556" s="2" t="s">
        <v>1476</v>
      </c>
      <c r="B556" s="2" t="s">
        <v>1477</v>
      </c>
      <c r="C556" s="2" t="s">
        <v>36</v>
      </c>
      <c r="D556" s="2" t="s">
        <v>37</v>
      </c>
      <c r="E556" s="5">
        <v>-30209</v>
      </c>
      <c r="F556" s="3" t="s">
        <v>1478</v>
      </c>
      <c r="G556" s="3" t="s">
        <v>57</v>
      </c>
      <c r="H556" s="2" t="s">
        <v>21</v>
      </c>
      <c r="I556" s="2" t="s">
        <v>1479</v>
      </c>
      <c r="J556" s="3" t="str">
        <f>HYPERLINK("https://www.boe.es/gazeta/dias/1817/04/15/pdfs/GMD-1817-45.pdf#page=6","Abrir facsímil")</f>
        <v>Abrir facsímil</v>
      </c>
      <c r="K556" s="3" t="s">
        <v>23</v>
      </c>
    </row>
    <row r="557" spans="1:11" ht="42" customHeight="1">
      <c r="A557" s="2" t="s">
        <v>1480</v>
      </c>
      <c r="B557" s="2" t="s">
        <v>1481</v>
      </c>
      <c r="C557" s="2" t="s">
        <v>36</v>
      </c>
      <c r="D557" s="2" t="s">
        <v>37</v>
      </c>
      <c r="E557" s="5">
        <v>-30244</v>
      </c>
      <c r="F557" s="3" t="s">
        <v>1482</v>
      </c>
      <c r="G557" s="3" t="s">
        <v>1483</v>
      </c>
      <c r="H557" s="2" t="s">
        <v>27</v>
      </c>
      <c r="I557" s="2" t="s">
        <v>1484</v>
      </c>
      <c r="J557" s="3" t="str">
        <f>HYPERLINK("https://www.boe.es/gazeta/dias/1817/03/11/pdfs/GMD-1817-30.pdf#page=7","Abrir facsímil")</f>
        <v>Abrir facsímil</v>
      </c>
      <c r="K557" s="3" t="s">
        <v>29</v>
      </c>
    </row>
    <row r="558" spans="1:11" ht="42" customHeight="1">
      <c r="A558" s="2" t="s">
        <v>1485</v>
      </c>
      <c r="B558" s="2" t="s">
        <v>1485</v>
      </c>
      <c r="C558" s="2" t="s">
        <v>17</v>
      </c>
      <c r="D558" s="2" t="s">
        <v>18</v>
      </c>
      <c r="E558" s="5">
        <v>-30053</v>
      </c>
      <c r="F558" s="3" t="s">
        <v>129</v>
      </c>
      <c r="G558" s="3" t="s">
        <v>82</v>
      </c>
      <c r="H558" s="2" t="s">
        <v>21</v>
      </c>
      <c r="I558" s="2" t="s">
        <v>1486</v>
      </c>
      <c r="J558" s="3" t="str">
        <f>HYPERLINK("https://www.boe.es/gazeta/dias/1817/09/18/pdfs/GMD-1817-112.pdf#page=12","Abrir facsímil")</f>
        <v>Abrir facsímil</v>
      </c>
      <c r="K558" s="3" t="s">
        <v>23</v>
      </c>
    </row>
    <row r="559" spans="1:11" ht="42" customHeight="1">
      <c r="A559" s="2" t="s">
        <v>1485</v>
      </c>
      <c r="B559" s="2" t="s">
        <v>1485</v>
      </c>
      <c r="C559" s="2" t="s">
        <v>36</v>
      </c>
      <c r="D559" s="2" t="s">
        <v>37</v>
      </c>
      <c r="E559" s="5">
        <v>-29981</v>
      </c>
      <c r="F559" s="3" t="s">
        <v>111</v>
      </c>
      <c r="G559" s="3" t="s">
        <v>20</v>
      </c>
      <c r="H559" s="2" t="s">
        <v>21</v>
      </c>
      <c r="I559" s="2" t="s">
        <v>1487</v>
      </c>
      <c r="J559" s="3" t="str">
        <f>HYPERLINK("https://www.boe.es/gazeta/dias/1817/11/29/pdfs/GMD-1817-143.pdf#page=7","Abrir facsímil")</f>
        <v>Abrir facsímil</v>
      </c>
      <c r="K559" s="3" t="s">
        <v>23</v>
      </c>
    </row>
    <row r="560" spans="1:11" ht="42" customHeight="1">
      <c r="A560" s="2" t="s">
        <v>1488</v>
      </c>
      <c r="B560" s="2" t="s">
        <v>1488</v>
      </c>
      <c r="C560" s="2" t="s">
        <v>36</v>
      </c>
      <c r="D560" s="2" t="s">
        <v>37</v>
      </c>
      <c r="E560" s="5">
        <v>-30076</v>
      </c>
      <c r="F560" s="3" t="s">
        <v>439</v>
      </c>
      <c r="G560" s="3" t="s">
        <v>551</v>
      </c>
      <c r="H560" s="2" t="s">
        <v>21</v>
      </c>
      <c r="I560" s="2" t="s">
        <v>1489</v>
      </c>
      <c r="J560" s="3" t="str">
        <f>HYPERLINK("https://www.boe.es/gazeta/dias/1817/08/26/pdfs/GMD-1817-102.pdf#page=3","Abrir facsímil")</f>
        <v>Abrir facsímil</v>
      </c>
      <c r="K560" s="3" t="s">
        <v>23</v>
      </c>
    </row>
    <row r="561" spans="1:11" ht="42" customHeight="1">
      <c r="A561" s="2" t="s">
        <v>1490</v>
      </c>
      <c r="B561" s="2" t="s">
        <v>1491</v>
      </c>
      <c r="C561" s="2" t="s">
        <v>36</v>
      </c>
      <c r="D561" s="2" t="s">
        <v>37</v>
      </c>
      <c r="E561" s="5">
        <v>-30289</v>
      </c>
      <c r="F561" s="3" t="s">
        <v>193</v>
      </c>
      <c r="G561" s="3" t="s">
        <v>39</v>
      </c>
      <c r="H561" s="2" t="s">
        <v>21</v>
      </c>
      <c r="I561" s="2" t="s">
        <v>1492</v>
      </c>
      <c r="J561" s="3" t="str">
        <f>HYPERLINK("https://www.boe.es/gazeta/dias/1817/01/25/pdfs/GMD-1817-11.pdf#page=5","Abrir facsímil")</f>
        <v>Abrir facsímil</v>
      </c>
      <c r="K561" s="3" t="s">
        <v>23</v>
      </c>
    </row>
    <row r="562" spans="1:11" ht="42" customHeight="1">
      <c r="A562" s="2" t="s">
        <v>1493</v>
      </c>
      <c r="B562" s="2" t="s">
        <v>1494</v>
      </c>
      <c r="C562" s="2" t="s">
        <v>36</v>
      </c>
      <c r="D562" s="2" t="s">
        <v>37</v>
      </c>
      <c r="E562" s="5">
        <v>-30011</v>
      </c>
      <c r="F562" s="3" t="s">
        <v>313</v>
      </c>
      <c r="G562" s="3" t="s">
        <v>77</v>
      </c>
      <c r="H562" s="2" t="s">
        <v>21</v>
      </c>
      <c r="I562" s="2" t="s">
        <v>1495</v>
      </c>
      <c r="J562" s="3" t="str">
        <f>HYPERLINK("https://www.boe.es/gazeta/dias/1817/10/30/pdfs/GMD-1817-130.pdf#page=8","Abrir facsímil")</f>
        <v>Abrir facsímil</v>
      </c>
      <c r="K562" s="3" t="s">
        <v>23</v>
      </c>
    </row>
    <row r="563" spans="1:11" ht="42" customHeight="1">
      <c r="A563" s="2" t="s">
        <v>1496</v>
      </c>
      <c r="B563" s="2" t="s">
        <v>1497</v>
      </c>
      <c r="C563" s="2" t="s">
        <v>17</v>
      </c>
      <c r="D563" s="2" t="s">
        <v>18</v>
      </c>
      <c r="E563" s="5">
        <v>-30041</v>
      </c>
      <c r="F563" s="3" t="s">
        <v>260</v>
      </c>
      <c r="G563" s="3" t="s">
        <v>77</v>
      </c>
      <c r="H563" s="2" t="s">
        <v>21</v>
      </c>
      <c r="I563" s="2" t="s">
        <v>1498</v>
      </c>
      <c r="J563" s="3" t="str">
        <f>HYPERLINK("https://www.boe.es/gazeta/dias/1817/09/30/pdfs/GMD-1817-117.pdf#page=8","Abrir facsímil")</f>
        <v>Abrir facsímil</v>
      </c>
      <c r="K563" s="3" t="s">
        <v>23</v>
      </c>
    </row>
    <row r="564" spans="1:11" ht="42" customHeight="1">
      <c r="A564" s="2" t="s">
        <v>1499</v>
      </c>
      <c r="B564" s="2" t="s">
        <v>1499</v>
      </c>
      <c r="C564" s="2" t="s">
        <v>36</v>
      </c>
      <c r="D564" s="2" t="s">
        <v>37</v>
      </c>
      <c r="E564" s="5">
        <v>-30086</v>
      </c>
      <c r="F564" s="3" t="s">
        <v>221</v>
      </c>
      <c r="G564" s="3" t="s">
        <v>551</v>
      </c>
      <c r="H564" s="2" t="s">
        <v>21</v>
      </c>
      <c r="I564" s="2" t="s">
        <v>1500</v>
      </c>
      <c r="J564" s="3" t="str">
        <f>HYPERLINK("https://www.boe.es/gazeta/dias/1817/08/16/pdfs/GMD-1817-98.pdf#page=3","Abrir facsímil")</f>
        <v>Abrir facsímil</v>
      </c>
      <c r="K564" s="3" t="s">
        <v>23</v>
      </c>
    </row>
    <row r="565" spans="1:11" ht="42" customHeight="1">
      <c r="A565" s="2" t="s">
        <v>1501</v>
      </c>
      <c r="B565" s="2" t="s">
        <v>1501</v>
      </c>
      <c r="C565" s="2" t="s">
        <v>36</v>
      </c>
      <c r="D565" s="2" t="s">
        <v>37</v>
      </c>
      <c r="E565" s="5">
        <v>-30296</v>
      </c>
      <c r="F565" s="3" t="s">
        <v>357</v>
      </c>
      <c r="G565" s="3" t="s">
        <v>887</v>
      </c>
      <c r="H565" s="2" t="s">
        <v>21</v>
      </c>
      <c r="I565" s="2" t="s">
        <v>1502</v>
      </c>
      <c r="J565" s="3" t="str">
        <f>HYPERLINK("https://www.boe.es/gazeta/dias/1817/01/18/pdfs/GMD-1817-8.pdf#page=9","Abrir facsímil")</f>
        <v>Abrir facsímil</v>
      </c>
      <c r="K565" s="3" t="s">
        <v>23</v>
      </c>
    </row>
    <row r="566" spans="1:11" ht="42" customHeight="1">
      <c r="A566" s="2" t="s">
        <v>1503</v>
      </c>
      <c r="B566" s="2" t="s">
        <v>1504</v>
      </c>
      <c r="C566" s="2" t="s">
        <v>17</v>
      </c>
      <c r="D566" s="2" t="s">
        <v>18</v>
      </c>
      <c r="E566" s="5">
        <v>-30167</v>
      </c>
      <c r="F566" s="3" t="s">
        <v>153</v>
      </c>
      <c r="G566" s="3" t="s">
        <v>1505</v>
      </c>
      <c r="H566" s="2" t="s">
        <v>21</v>
      </c>
      <c r="I566" s="2" t="s">
        <v>1506</v>
      </c>
      <c r="J566" s="3" t="str">
        <f>HYPERLINK("https://www.boe.es/gazeta/dias/1817/05/27/pdfs/GMD-1817-63.pdf#page=5","Abrir facsímil")</f>
        <v>Abrir facsímil</v>
      </c>
      <c r="K566" s="3" t="s">
        <v>23</v>
      </c>
    </row>
    <row r="567" spans="1:11" ht="42" customHeight="1">
      <c r="A567" s="2" t="s">
        <v>1507</v>
      </c>
      <c r="B567" s="2" t="s">
        <v>1508</v>
      </c>
      <c r="C567" s="2" t="s">
        <v>36</v>
      </c>
      <c r="D567" s="2" t="s">
        <v>37</v>
      </c>
      <c r="E567" s="5">
        <v>-30268</v>
      </c>
      <c r="F567" s="3" t="s">
        <v>1160</v>
      </c>
      <c r="G567" s="3" t="s">
        <v>57</v>
      </c>
      <c r="H567" s="2" t="s">
        <v>21</v>
      </c>
      <c r="I567" s="2" t="s">
        <v>1509</v>
      </c>
      <c r="J567" s="3" t="str">
        <f>HYPERLINK("https://www.boe.es/gazeta/dias/1817/02/15/pdfs/GMD-1817-20.pdf#page=6","Abrir facsímil")</f>
        <v>Abrir facsímil</v>
      </c>
      <c r="K567" s="3" t="s">
        <v>23</v>
      </c>
    </row>
    <row r="568" spans="1:11" ht="42" customHeight="1">
      <c r="A568" s="2" t="s">
        <v>1510</v>
      </c>
      <c r="B568" s="2" t="s">
        <v>1511</v>
      </c>
      <c r="C568" s="2" t="s">
        <v>43</v>
      </c>
      <c r="D568" s="2" t="s">
        <v>44</v>
      </c>
      <c r="E568" s="5">
        <v>-30310</v>
      </c>
      <c r="F568" s="3" t="s">
        <v>93</v>
      </c>
      <c r="G568" s="3" t="s">
        <v>57</v>
      </c>
      <c r="H568" s="2" t="s">
        <v>21</v>
      </c>
      <c r="I568" s="2" t="s">
        <v>1512</v>
      </c>
      <c r="J568" s="3" t="str">
        <f>HYPERLINK("https://www.boe.es/gazeta/dias/1817/01/04/pdfs/GMD-1817-2.pdf#page=6","Abrir facsímil")</f>
        <v>Abrir facsímil</v>
      </c>
      <c r="K568" s="3" t="s">
        <v>23</v>
      </c>
    </row>
    <row r="569" spans="1:11" ht="42" customHeight="1">
      <c r="A569" s="2" t="s">
        <v>1513</v>
      </c>
      <c r="B569" s="2" t="s">
        <v>1514</v>
      </c>
      <c r="C569" s="2" t="s">
        <v>43</v>
      </c>
      <c r="D569" s="2" t="s">
        <v>44</v>
      </c>
      <c r="E569" s="5">
        <v>-30058</v>
      </c>
      <c r="F569" s="3" t="s">
        <v>1385</v>
      </c>
      <c r="G569" s="3" t="s">
        <v>144</v>
      </c>
      <c r="H569" s="2" t="s">
        <v>27</v>
      </c>
      <c r="I569" s="2" t="s">
        <v>1515</v>
      </c>
      <c r="J569" s="3" t="str">
        <f>HYPERLINK("https://www.boe.es/gazeta/dias/1817/09/13/pdfs/GMD-1817-110.pdf#page=4","Abrir facsímil")</f>
        <v>Abrir facsímil</v>
      </c>
      <c r="K569" s="3" t="s">
        <v>29</v>
      </c>
    </row>
    <row r="570" spans="1:11" ht="42" customHeight="1">
      <c r="A570" s="2" t="s">
        <v>1516</v>
      </c>
      <c r="B570" s="2" t="s">
        <v>1517</v>
      </c>
      <c r="C570" s="2" t="s">
        <v>36</v>
      </c>
      <c r="D570" s="2" t="s">
        <v>37</v>
      </c>
      <c r="E570" s="5">
        <v>-30030</v>
      </c>
      <c r="F570" s="3" t="s">
        <v>508</v>
      </c>
      <c r="G570" s="3" t="s">
        <v>1518</v>
      </c>
      <c r="H570" s="2" t="s">
        <v>21</v>
      </c>
      <c r="I570" s="2" t="s">
        <v>1519</v>
      </c>
      <c r="J570" s="3" t="str">
        <f>HYPERLINK("https://www.boe.es/gazeta/dias/1817/10/11/pdfs/GMD-1817-122.pdf#page=10","Abrir facsímil")</f>
        <v>Abrir facsímil</v>
      </c>
      <c r="K570" s="3" t="s">
        <v>23</v>
      </c>
    </row>
    <row r="571" spans="1:11" ht="42" customHeight="1">
      <c r="A571" s="2" t="s">
        <v>1520</v>
      </c>
      <c r="B571" s="2" t="s">
        <v>1521</v>
      </c>
      <c r="C571" s="2" t="s">
        <v>36</v>
      </c>
      <c r="D571" s="2" t="s">
        <v>37</v>
      </c>
      <c r="E571" s="5">
        <v>-30065</v>
      </c>
      <c r="F571" s="3" t="s">
        <v>201</v>
      </c>
      <c r="G571" s="3" t="s">
        <v>57</v>
      </c>
      <c r="H571" s="2" t="s">
        <v>21</v>
      </c>
      <c r="I571" s="2" t="s">
        <v>1522</v>
      </c>
      <c r="J571" s="3" t="str">
        <f>HYPERLINK("https://www.boe.es/gazeta/dias/1817/09/06/pdfs/GMD-1817-107.pdf#page=6","Abrir facsímil")</f>
        <v>Abrir facsímil</v>
      </c>
      <c r="K571" s="3" t="s">
        <v>23</v>
      </c>
    </row>
    <row r="572" spans="1:11" ht="42" customHeight="1">
      <c r="A572" s="2" t="s">
        <v>1523</v>
      </c>
      <c r="B572" s="2" t="s">
        <v>1523</v>
      </c>
      <c r="C572" s="2" t="s">
        <v>36</v>
      </c>
      <c r="D572" s="2" t="s">
        <v>37</v>
      </c>
      <c r="E572" s="5">
        <v>-30272</v>
      </c>
      <c r="F572" s="3" t="s">
        <v>493</v>
      </c>
      <c r="G572" s="3" t="s">
        <v>72</v>
      </c>
      <c r="H572" s="2" t="s">
        <v>21</v>
      </c>
      <c r="I572" s="2" t="s">
        <v>1524</v>
      </c>
      <c r="J572" s="3" t="str">
        <f>HYPERLINK("https://www.boe.es/gazeta/dias/1817/02/11/pdfs/GMD-1817-18.pdf#page=1","Abrir facsímil")</f>
        <v>Abrir facsímil</v>
      </c>
      <c r="K572" s="3" t="s">
        <v>23</v>
      </c>
    </row>
    <row r="573" spans="1:11" ht="42" customHeight="1">
      <c r="A573" s="2" t="s">
        <v>1525</v>
      </c>
      <c r="B573" s="2" t="s">
        <v>1525</v>
      </c>
      <c r="C573" s="2" t="s">
        <v>43</v>
      </c>
      <c r="D573" s="2" t="s">
        <v>44</v>
      </c>
      <c r="E573" s="5">
        <v>-30079</v>
      </c>
      <c r="F573" s="3" t="s">
        <v>45</v>
      </c>
      <c r="G573" s="3" t="s">
        <v>39</v>
      </c>
      <c r="H573" s="2" t="s">
        <v>21</v>
      </c>
      <c r="I573" s="2" t="s">
        <v>1526</v>
      </c>
      <c r="J573" s="3" t="str">
        <f>HYPERLINK("https://www.boe.es/gazeta/dias/1817/08/23/pdfs/GMD-1817-101.pdf#page=5","Abrir facsímil")</f>
        <v>Abrir facsímil</v>
      </c>
      <c r="K573" s="3" t="s">
        <v>23</v>
      </c>
    </row>
    <row r="574" spans="1:11" ht="42" customHeight="1">
      <c r="A574" s="2" t="s">
        <v>1527</v>
      </c>
      <c r="B574" s="2" t="s">
        <v>1528</v>
      </c>
      <c r="C574" s="2" t="s">
        <v>55</v>
      </c>
      <c r="D574" s="2" t="s">
        <v>44</v>
      </c>
      <c r="E574" s="5">
        <v>-30009</v>
      </c>
      <c r="F574" s="3" t="s">
        <v>512</v>
      </c>
      <c r="G574" s="3" t="s">
        <v>144</v>
      </c>
      <c r="H574" s="2" t="s">
        <v>21</v>
      </c>
      <c r="I574" s="2" t="s">
        <v>1529</v>
      </c>
      <c r="J574" s="3" t="str">
        <f>HYPERLINK("https://www.boe.es/gazeta/dias/1817/11/01/pdfs/GMD-1817-131.pdf#page=4","Abrir facsímil")</f>
        <v>Abrir facsímil</v>
      </c>
      <c r="K574" s="3" t="s">
        <v>23</v>
      </c>
    </row>
    <row r="575" spans="1:11" ht="42" customHeight="1">
      <c r="A575" s="2" t="s">
        <v>1530</v>
      </c>
      <c r="B575" s="2" t="s">
        <v>1530</v>
      </c>
      <c r="C575" s="2" t="s">
        <v>36</v>
      </c>
      <c r="D575" s="2" t="s">
        <v>37</v>
      </c>
      <c r="E575" s="5">
        <v>-30002</v>
      </c>
      <c r="F575" s="3" t="s">
        <v>469</v>
      </c>
      <c r="G575" s="3" t="s">
        <v>72</v>
      </c>
      <c r="H575" s="2" t="s">
        <v>21</v>
      </c>
      <c r="I575" s="2" t="s">
        <v>1531</v>
      </c>
      <c r="J575" s="3" t="str">
        <f>HYPERLINK("https://www.boe.es/gazeta/dias/1817/11/08/pdfs/GMD-1817-134.pdf#page=1","Abrir facsímil")</f>
        <v>Abrir facsímil</v>
      </c>
      <c r="K575" s="3" t="s">
        <v>23</v>
      </c>
    </row>
    <row r="576" spans="1:11" ht="42" customHeight="1">
      <c r="A576" s="2" t="s">
        <v>1530</v>
      </c>
      <c r="B576" s="2" t="s">
        <v>1530</v>
      </c>
      <c r="C576" s="2" t="s">
        <v>36</v>
      </c>
      <c r="D576" s="2" t="s">
        <v>37</v>
      </c>
      <c r="E576" s="5">
        <v>-30002</v>
      </c>
      <c r="F576" s="3" t="s">
        <v>469</v>
      </c>
      <c r="G576" s="3" t="s">
        <v>629</v>
      </c>
      <c r="H576" s="2" t="s">
        <v>21</v>
      </c>
      <c r="I576" s="2" t="s">
        <v>1532</v>
      </c>
      <c r="J576" s="3" t="str">
        <f>HYPERLINK("https://www.boe.es/gazeta/dias/1817/11/08/pdfs/GMD-1817-134.pdf#page=2","Abrir facsímil")</f>
        <v>Abrir facsímil</v>
      </c>
      <c r="K576" s="3" t="s">
        <v>23</v>
      </c>
    </row>
    <row r="577" spans="1:11" ht="42" customHeight="1">
      <c r="A577" s="2" t="s">
        <v>1533</v>
      </c>
      <c r="B577" s="2" t="s">
        <v>1533</v>
      </c>
      <c r="C577" s="2" t="s">
        <v>36</v>
      </c>
      <c r="D577" s="2" t="s">
        <v>37</v>
      </c>
      <c r="E577" s="5">
        <v>-30072</v>
      </c>
      <c r="F577" s="3" t="s">
        <v>442</v>
      </c>
      <c r="G577" s="3" t="s">
        <v>1534</v>
      </c>
      <c r="H577" s="2" t="s">
        <v>21</v>
      </c>
      <c r="I577" s="2" t="s">
        <v>1535</v>
      </c>
      <c r="J577" s="3" t="str">
        <f>HYPERLINK("https://www.boe.es/gazeta/dias/1817/08/30/pdfs/GMD-1817-104.pdf#page=2","Abrir facsímil")</f>
        <v>Abrir facsímil</v>
      </c>
      <c r="K577" s="3" t="s">
        <v>23</v>
      </c>
    </row>
    <row r="578" spans="1:11" ht="42" customHeight="1">
      <c r="A578" s="2" t="s">
        <v>1536</v>
      </c>
      <c r="B578" s="2" t="s">
        <v>1536</v>
      </c>
      <c r="C578" s="2" t="s">
        <v>17</v>
      </c>
      <c r="D578" s="2" t="s">
        <v>18</v>
      </c>
      <c r="E578" s="5">
        <v>-30177</v>
      </c>
      <c r="F578" s="3" t="s">
        <v>633</v>
      </c>
      <c r="G578" s="3" t="s">
        <v>77</v>
      </c>
      <c r="H578" s="2" t="s">
        <v>21</v>
      </c>
      <c r="I578" s="2" t="s">
        <v>1537</v>
      </c>
      <c r="J578" s="3" t="str">
        <f>HYPERLINK("https://www.boe.es/gazeta/dias/1817/05/17/pdfs/GMD-1817-59.pdf#page=8","Abrir facsímil")</f>
        <v>Abrir facsímil</v>
      </c>
      <c r="K578" s="3" t="s">
        <v>23</v>
      </c>
    </row>
    <row r="579" spans="1:11" ht="42" customHeight="1">
      <c r="A579" s="2" t="s">
        <v>1536</v>
      </c>
      <c r="B579" s="2" t="s">
        <v>1536</v>
      </c>
      <c r="C579" s="2" t="s">
        <v>36</v>
      </c>
      <c r="D579" s="2" t="s">
        <v>37</v>
      </c>
      <c r="E579" s="5">
        <v>-29981</v>
      </c>
      <c r="F579" s="3" t="s">
        <v>111</v>
      </c>
      <c r="G579" s="3" t="s">
        <v>82</v>
      </c>
      <c r="H579" s="2" t="s">
        <v>21</v>
      </c>
      <c r="I579" s="2" t="s">
        <v>1538</v>
      </c>
      <c r="J579" s="3" t="str">
        <f>HYPERLINK("https://www.boe.es/gazeta/dias/1817/11/29/pdfs/GMD-1817-143.pdf#page=12","Abrir facsímil")</f>
        <v>Abrir facsímil</v>
      </c>
      <c r="K579" s="3" t="s">
        <v>23</v>
      </c>
    </row>
    <row r="580" spans="1:11" ht="42" customHeight="1">
      <c r="A580" s="2" t="s">
        <v>1539</v>
      </c>
      <c r="B580" s="2" t="s">
        <v>1540</v>
      </c>
      <c r="C580" s="2" t="s">
        <v>36</v>
      </c>
      <c r="D580" s="2" t="s">
        <v>37</v>
      </c>
      <c r="E580" s="5">
        <v>-29997</v>
      </c>
      <c r="F580" s="3" t="s">
        <v>652</v>
      </c>
      <c r="G580" s="3" t="s">
        <v>1541</v>
      </c>
      <c r="H580" s="2" t="s">
        <v>21</v>
      </c>
      <c r="I580" s="2" t="s">
        <v>1542</v>
      </c>
      <c r="J580" s="3" t="str">
        <f>HYPERLINK("https://www.boe.es/gazeta/dias/1817/11/13/pdfs/GMD-1817-136.pdf#page=9","Abrir facsímil")</f>
        <v>Abrir facsímil</v>
      </c>
      <c r="K580" s="3" t="s">
        <v>23</v>
      </c>
    </row>
    <row r="581" spans="1:11" ht="42" customHeight="1">
      <c r="A581" s="2" t="s">
        <v>1539</v>
      </c>
      <c r="B581" s="2" t="s">
        <v>1540</v>
      </c>
      <c r="C581" s="2" t="s">
        <v>36</v>
      </c>
      <c r="D581" s="2" t="s">
        <v>37</v>
      </c>
      <c r="E581" s="5">
        <v>-29997</v>
      </c>
      <c r="F581" s="3" t="s">
        <v>652</v>
      </c>
      <c r="G581" s="3" t="s">
        <v>39</v>
      </c>
      <c r="H581" s="2" t="s">
        <v>21</v>
      </c>
      <c r="I581" s="2" t="s">
        <v>1543</v>
      </c>
      <c r="J581" s="3" t="str">
        <f>HYPERLINK("https://www.boe.es/gazeta/dias/1817/11/13/pdfs/GMD-1817-136.pdf#page=5","Abrir facsímil")</f>
        <v>Abrir facsímil</v>
      </c>
      <c r="K581" s="3" t="s">
        <v>23</v>
      </c>
    </row>
    <row r="582" spans="1:11" ht="42" customHeight="1">
      <c r="A582" s="2" t="s">
        <v>1544</v>
      </c>
      <c r="B582" s="2" t="s">
        <v>1545</v>
      </c>
      <c r="C582" s="2" t="s">
        <v>49</v>
      </c>
      <c r="D582" s="2" t="s">
        <v>44</v>
      </c>
      <c r="E582" s="5">
        <v>-30023</v>
      </c>
      <c r="F582" s="3" t="s">
        <v>460</v>
      </c>
      <c r="G582" s="3" t="s">
        <v>461</v>
      </c>
      <c r="H582" s="2" t="s">
        <v>21</v>
      </c>
      <c r="I582" s="2" t="s">
        <v>1546</v>
      </c>
      <c r="J582" s="3" t="str">
        <f>HYPERLINK("https://www.boe.es/gazeta/dias/1817/10/18/pdfs/GMD-1817-125.pdf#page=8","Abrir facsímil")</f>
        <v>Abrir facsímil</v>
      </c>
      <c r="K582" s="3" t="s">
        <v>23</v>
      </c>
    </row>
    <row r="583" spans="1:11" ht="42" customHeight="1">
      <c r="A583" s="2" t="s">
        <v>1547</v>
      </c>
      <c r="B583" s="2" t="s">
        <v>1548</v>
      </c>
      <c r="C583" s="2" t="s">
        <v>43</v>
      </c>
      <c r="D583" s="2" t="s">
        <v>44</v>
      </c>
      <c r="E583" s="5">
        <v>-30013</v>
      </c>
      <c r="F583" s="3" t="s">
        <v>464</v>
      </c>
      <c r="G583" s="3" t="s">
        <v>39</v>
      </c>
      <c r="H583" s="2" t="s">
        <v>21</v>
      </c>
      <c r="I583" s="2" t="s">
        <v>1549</v>
      </c>
      <c r="J583" s="3" t="str">
        <f>HYPERLINK("https://www.boe.es/gazeta/dias/1817/10/28/pdfs/GMD-1817-129.pdf#page=5","Abrir facsímil")</f>
        <v>Abrir facsímil</v>
      </c>
      <c r="K583" s="3" t="s">
        <v>23</v>
      </c>
    </row>
    <row r="584" spans="1:11" ht="42" customHeight="1">
      <c r="A584" s="2" t="s">
        <v>1550</v>
      </c>
      <c r="B584" s="2" t="s">
        <v>1551</v>
      </c>
      <c r="C584" s="2" t="s">
        <v>17</v>
      </c>
      <c r="D584" s="2" t="s">
        <v>18</v>
      </c>
      <c r="E584" s="5">
        <v>-30167</v>
      </c>
      <c r="F584" s="3" t="s">
        <v>153</v>
      </c>
      <c r="G584" s="3" t="s">
        <v>1505</v>
      </c>
      <c r="H584" s="2" t="s">
        <v>21</v>
      </c>
      <c r="I584" s="2" t="s">
        <v>1552</v>
      </c>
      <c r="J584" s="3" t="str">
        <f>HYPERLINK("https://www.boe.es/gazeta/dias/1817/05/27/pdfs/GMD-1817-63.pdf#page=5","Abrir facsímil")</f>
        <v>Abrir facsímil</v>
      </c>
      <c r="K584" s="3" t="s">
        <v>23</v>
      </c>
    </row>
    <row r="585" spans="1:11" ht="42" customHeight="1">
      <c r="A585" s="2" t="s">
        <v>1550</v>
      </c>
      <c r="B585" s="2" t="s">
        <v>1551</v>
      </c>
      <c r="C585" s="2" t="s">
        <v>17</v>
      </c>
      <c r="D585" s="2" t="s">
        <v>18</v>
      </c>
      <c r="E585" s="5">
        <v>-30020</v>
      </c>
      <c r="F585" s="3" t="s">
        <v>291</v>
      </c>
      <c r="G585" s="3" t="s">
        <v>144</v>
      </c>
      <c r="H585" s="2" t="s">
        <v>21</v>
      </c>
      <c r="I585" s="2" t="s">
        <v>1553</v>
      </c>
      <c r="J585" s="3" t="str">
        <f>HYPERLINK("https://www.boe.es/gazeta/dias/1817/10/21/pdfs/GMD-1817-126.pdf#page=4","Abrir facsímil")</f>
        <v>Abrir facsímil</v>
      </c>
      <c r="K585" s="3" t="s">
        <v>23</v>
      </c>
    </row>
    <row r="586" spans="1:11" ht="42" customHeight="1">
      <c r="A586" s="2" t="s">
        <v>1554</v>
      </c>
      <c r="B586" s="2" t="s">
        <v>1554</v>
      </c>
      <c r="C586" s="2" t="s">
        <v>36</v>
      </c>
      <c r="D586" s="2" t="s">
        <v>37</v>
      </c>
      <c r="E586" s="5">
        <v>-30146</v>
      </c>
      <c r="F586" s="3" t="s">
        <v>1005</v>
      </c>
      <c r="G586" s="3" t="s">
        <v>551</v>
      </c>
      <c r="H586" s="2" t="s">
        <v>21</v>
      </c>
      <c r="I586" s="2" t="s">
        <v>1555</v>
      </c>
      <c r="J586" s="3" t="str">
        <f>HYPERLINK("https://www.boe.es/gazeta/dias/1817/06/17/pdfs/GMD-1817-72.pdf#page=3","Abrir facsímil")</f>
        <v>Abrir facsímil</v>
      </c>
      <c r="K586" s="3" t="s">
        <v>23</v>
      </c>
    </row>
    <row r="587" spans="1:11" ht="42" customHeight="1">
      <c r="A587" s="2" t="s">
        <v>1556</v>
      </c>
      <c r="B587" s="2" t="s">
        <v>1556</v>
      </c>
      <c r="C587" s="2" t="s">
        <v>49</v>
      </c>
      <c r="D587" s="2" t="s">
        <v>44</v>
      </c>
      <c r="E587" s="5">
        <v>-30160</v>
      </c>
      <c r="F587" s="3" t="s">
        <v>116</v>
      </c>
      <c r="G587" s="3" t="s">
        <v>1557</v>
      </c>
      <c r="H587" s="2" t="s">
        <v>21</v>
      </c>
      <c r="I587" s="2" t="s">
        <v>1558</v>
      </c>
      <c r="J587" s="3" t="str">
        <f>HYPERLINK("https://www.boe.es/gazeta/dias/1817/06/03/pdfs/GMD-1817-66.pdf#page=2","Abrir facsímil")</f>
        <v>Abrir facsímil</v>
      </c>
      <c r="K587" s="3" t="s">
        <v>23</v>
      </c>
    </row>
    <row r="588" spans="1:11" ht="42" customHeight="1">
      <c r="A588" s="2" t="s">
        <v>1556</v>
      </c>
      <c r="B588" s="2" t="s">
        <v>1556</v>
      </c>
      <c r="C588" s="2" t="s">
        <v>36</v>
      </c>
      <c r="D588" s="2" t="s">
        <v>37</v>
      </c>
      <c r="E588" s="5">
        <v>-30156</v>
      </c>
      <c r="F588" s="3" t="s">
        <v>635</v>
      </c>
      <c r="G588" s="3" t="s">
        <v>144</v>
      </c>
      <c r="H588" s="2" t="s">
        <v>21</v>
      </c>
      <c r="I588" s="2" t="s">
        <v>1559</v>
      </c>
      <c r="J588" s="3" t="str">
        <f>HYPERLINK("https://www.boe.es/gazeta/dias/1817/06/07/pdfs/GMD-1817-68.pdf#page=4","Abrir facsímil")</f>
        <v>Abrir facsímil</v>
      </c>
      <c r="K588" s="3" t="s">
        <v>23</v>
      </c>
    </row>
    <row r="589" spans="1:11" ht="42" customHeight="1">
      <c r="A589" s="2" t="s">
        <v>1556</v>
      </c>
      <c r="B589" s="2" t="s">
        <v>1556</v>
      </c>
      <c r="C589" s="2" t="s">
        <v>36</v>
      </c>
      <c r="D589" s="2" t="s">
        <v>37</v>
      </c>
      <c r="E589" s="5">
        <v>-30146</v>
      </c>
      <c r="F589" s="3" t="s">
        <v>1005</v>
      </c>
      <c r="G589" s="3" t="s">
        <v>551</v>
      </c>
      <c r="H589" s="2" t="s">
        <v>21</v>
      </c>
      <c r="I589" s="2" t="s">
        <v>1560</v>
      </c>
      <c r="J589" s="3" t="str">
        <f>HYPERLINK("https://www.boe.es/gazeta/dias/1817/06/17/pdfs/GMD-1817-72.pdf#page=3","Abrir facsímil")</f>
        <v>Abrir facsímil</v>
      </c>
      <c r="K589" s="3" t="s">
        <v>23</v>
      </c>
    </row>
    <row r="590" spans="1:11" ht="42" customHeight="1">
      <c r="A590" s="2" t="s">
        <v>1561</v>
      </c>
      <c r="B590" s="2" t="s">
        <v>1562</v>
      </c>
      <c r="C590" s="2" t="s">
        <v>36</v>
      </c>
      <c r="D590" s="2" t="s">
        <v>37</v>
      </c>
      <c r="E590" s="5">
        <v>-30286</v>
      </c>
      <c r="F590" s="3" t="s">
        <v>354</v>
      </c>
      <c r="G590" s="3" t="s">
        <v>57</v>
      </c>
      <c r="H590" s="2" t="s">
        <v>21</v>
      </c>
      <c r="I590" s="2" t="s">
        <v>1563</v>
      </c>
      <c r="J590" s="3" t="str">
        <f>HYPERLINK("https://www.boe.es/gazeta/dias/1817/01/28/pdfs/GMD-1817-12.pdf#page=6","Abrir facsímil")</f>
        <v>Abrir facsímil</v>
      </c>
      <c r="K590" s="3" t="s">
        <v>23</v>
      </c>
    </row>
    <row r="591" spans="1:11" ht="42" customHeight="1">
      <c r="A591" s="2" t="s">
        <v>1564</v>
      </c>
      <c r="B591" s="2" t="s">
        <v>1565</v>
      </c>
      <c r="C591" s="2" t="s">
        <v>43</v>
      </c>
      <c r="D591" s="2" t="s">
        <v>44</v>
      </c>
      <c r="E591" s="5">
        <v>-30013</v>
      </c>
      <c r="F591" s="3" t="s">
        <v>464</v>
      </c>
      <c r="G591" s="3" t="s">
        <v>39</v>
      </c>
      <c r="H591" s="2" t="s">
        <v>21</v>
      </c>
      <c r="I591" s="2" t="s">
        <v>1566</v>
      </c>
      <c r="J591" s="3" t="str">
        <f>HYPERLINK("https://www.boe.es/gazeta/dias/1817/10/28/pdfs/GMD-1817-129.pdf#page=5","Abrir facsímil")</f>
        <v>Abrir facsímil</v>
      </c>
      <c r="K591" s="3" t="s">
        <v>23</v>
      </c>
    </row>
    <row r="592" spans="1:11" ht="42" customHeight="1">
      <c r="A592" s="2" t="s">
        <v>1567</v>
      </c>
      <c r="B592" s="2" t="s">
        <v>1568</v>
      </c>
      <c r="C592" s="2" t="s">
        <v>138</v>
      </c>
      <c r="D592" s="2" t="s">
        <v>44</v>
      </c>
      <c r="E592" s="5">
        <v>-30065</v>
      </c>
      <c r="F592" s="3" t="s">
        <v>201</v>
      </c>
      <c r="G592" s="3" t="s">
        <v>20</v>
      </c>
      <c r="H592" s="2" t="s">
        <v>21</v>
      </c>
      <c r="I592" s="2" t="s">
        <v>1569</v>
      </c>
      <c r="J592" s="3" t="str">
        <f>HYPERLINK("https://www.boe.es/gazeta/dias/1817/09/06/pdfs/GMD-1817-107.pdf#page=7","Abrir facsímil")</f>
        <v>Abrir facsímil</v>
      </c>
      <c r="K592" s="3" t="s">
        <v>23</v>
      </c>
    </row>
    <row r="593" spans="1:11" ht="42" customHeight="1">
      <c r="A593" s="2" t="s">
        <v>1567</v>
      </c>
      <c r="B593" s="2" t="s">
        <v>1568</v>
      </c>
      <c r="C593" s="2" t="s">
        <v>138</v>
      </c>
      <c r="D593" s="2" t="s">
        <v>44</v>
      </c>
      <c r="E593" s="5">
        <v>-29988</v>
      </c>
      <c r="F593" s="3" t="s">
        <v>569</v>
      </c>
      <c r="G593" s="3" t="s">
        <v>314</v>
      </c>
      <c r="H593" s="2" t="s">
        <v>21</v>
      </c>
      <c r="I593" s="2" t="s">
        <v>1570</v>
      </c>
      <c r="J593" s="3" t="str">
        <f>HYPERLINK("https://www.boe.es/gazeta/dias/1817/11/22/pdfs/GMD-1817-140.pdf#page=10","Abrir facsímil")</f>
        <v>Abrir facsímil</v>
      </c>
      <c r="K593" s="3" t="s">
        <v>23</v>
      </c>
    </row>
    <row r="594" spans="1:11" ht="42" customHeight="1">
      <c r="A594" s="2" t="s">
        <v>1567</v>
      </c>
      <c r="B594" s="2" t="s">
        <v>1568</v>
      </c>
      <c r="C594" s="2" t="s">
        <v>55</v>
      </c>
      <c r="D594" s="2" t="s">
        <v>44</v>
      </c>
      <c r="E594" s="5">
        <v>-29971</v>
      </c>
      <c r="F594" s="3" t="s">
        <v>517</v>
      </c>
      <c r="G594" s="3" t="s">
        <v>82</v>
      </c>
      <c r="H594" s="2" t="s">
        <v>21</v>
      </c>
      <c r="I594" s="2" t="s">
        <v>1571</v>
      </c>
      <c r="J594" s="3" t="str">
        <f>HYPERLINK("https://www.boe.es/gazeta/dias/1817/12/09/pdfs/GMD-1817-147.pdf#page=12","Abrir facsímil")</f>
        <v>Abrir facsímil</v>
      </c>
      <c r="K594" s="3" t="s">
        <v>23</v>
      </c>
    </row>
    <row r="595" spans="1:11" ht="42" customHeight="1">
      <c r="A595" s="2" t="s">
        <v>1572</v>
      </c>
      <c r="B595" s="2" t="s">
        <v>1573</v>
      </c>
      <c r="C595" s="2" t="s">
        <v>17</v>
      </c>
      <c r="D595" s="2" t="s">
        <v>18</v>
      </c>
      <c r="E595" s="5">
        <v>-30027</v>
      </c>
      <c r="F595" s="3" t="s">
        <v>173</v>
      </c>
      <c r="G595" s="3" t="s">
        <v>77</v>
      </c>
      <c r="H595" s="2" t="s">
        <v>27</v>
      </c>
      <c r="I595" s="2" t="s">
        <v>1574</v>
      </c>
      <c r="J595" s="3" t="str">
        <f>HYPERLINK("https://www.boe.es/gazeta/dias/1817/10/14/pdfs/GMD-1817-123.pdf#page=8","Abrir facsímil")</f>
        <v>Abrir facsímil</v>
      </c>
      <c r="K595" s="3" t="s">
        <v>29</v>
      </c>
    </row>
    <row r="596" spans="1:11" ht="42" customHeight="1">
      <c r="A596" s="2" t="s">
        <v>1575</v>
      </c>
      <c r="B596" s="2" t="s">
        <v>1576</v>
      </c>
      <c r="C596" s="2" t="s">
        <v>49</v>
      </c>
      <c r="D596" s="2" t="s">
        <v>44</v>
      </c>
      <c r="E596" s="5">
        <v>-30242</v>
      </c>
      <c r="F596" s="3" t="s">
        <v>62</v>
      </c>
      <c r="G596" s="3" t="s">
        <v>77</v>
      </c>
      <c r="H596" s="2" t="s">
        <v>21</v>
      </c>
      <c r="I596" s="2" t="s">
        <v>1577</v>
      </c>
      <c r="J596" s="3" t="str">
        <f>HYPERLINK("https://www.boe.es/gazeta/dias/1817/03/13/pdfs/GMD-1817-31.pdf#page=8","Abrir facsímil")</f>
        <v>Abrir facsímil</v>
      </c>
      <c r="K596" s="3" t="s">
        <v>23</v>
      </c>
    </row>
    <row r="597" spans="1:11" ht="42" customHeight="1">
      <c r="A597" s="2" t="s">
        <v>1578</v>
      </c>
      <c r="B597" s="2" t="s">
        <v>1579</v>
      </c>
      <c r="C597" s="2" t="s">
        <v>43</v>
      </c>
      <c r="D597" s="2" t="s">
        <v>44</v>
      </c>
      <c r="E597" s="5">
        <v>-30286</v>
      </c>
      <c r="F597" s="3" t="s">
        <v>354</v>
      </c>
      <c r="G597" s="3" t="s">
        <v>1580</v>
      </c>
      <c r="H597" s="2" t="s">
        <v>21</v>
      </c>
      <c r="I597" s="2" t="s">
        <v>1581</v>
      </c>
      <c r="J597" s="3" t="str">
        <f>HYPERLINK("https://www.boe.es/gazeta/dias/1817/01/28/pdfs/GMD-1817-12.pdf#page=5","Abrir facsímil")</f>
        <v>Abrir facsímil</v>
      </c>
      <c r="K597" s="3" t="s">
        <v>23</v>
      </c>
    </row>
    <row r="598" spans="1:11" ht="42" customHeight="1">
      <c r="A598" s="2" t="s">
        <v>1582</v>
      </c>
      <c r="B598" s="2" t="s">
        <v>1583</v>
      </c>
      <c r="C598" s="2" t="s">
        <v>49</v>
      </c>
      <c r="D598" s="2" t="s">
        <v>44</v>
      </c>
      <c r="E598" s="5">
        <v>-30179</v>
      </c>
      <c r="F598" s="3" t="s">
        <v>391</v>
      </c>
      <c r="G598" s="3" t="s">
        <v>20</v>
      </c>
      <c r="H598" s="2" t="s">
        <v>21</v>
      </c>
      <c r="I598" s="2" t="s">
        <v>1584</v>
      </c>
      <c r="J598" s="3" t="str">
        <f>HYPERLINK("https://www.boe.es/gazeta/dias/1817/05/15/pdfs/GMD-1817-58.pdf#page=7","Abrir facsímil")</f>
        <v>Abrir facsímil</v>
      </c>
      <c r="K598" s="3" t="s">
        <v>23</v>
      </c>
    </row>
    <row r="599" spans="1:11" ht="42" customHeight="1">
      <c r="A599" s="2" t="s">
        <v>1585</v>
      </c>
      <c r="B599" s="2" t="s">
        <v>1586</v>
      </c>
      <c r="C599" s="2" t="s">
        <v>17</v>
      </c>
      <c r="D599" s="2" t="s">
        <v>18</v>
      </c>
      <c r="E599" s="5">
        <v>-30044</v>
      </c>
      <c r="F599" s="3" t="s">
        <v>450</v>
      </c>
      <c r="G599" s="3" t="s">
        <v>72</v>
      </c>
      <c r="H599" s="2" t="s">
        <v>21</v>
      </c>
      <c r="I599" s="2" t="s">
        <v>1587</v>
      </c>
      <c r="J599" s="3" t="str">
        <f>HYPERLINK("https://www.boe.es/gazeta/dias/1817/09/27/pdfs/GMD-1817-116.pdf#page=1","Abrir facsímil")</f>
        <v>Abrir facsímil</v>
      </c>
      <c r="K599" s="3" t="s">
        <v>23</v>
      </c>
    </row>
    <row r="600" spans="1:11" ht="42" customHeight="1">
      <c r="A600" s="2" t="s">
        <v>1588</v>
      </c>
      <c r="B600" s="2" t="s">
        <v>1588</v>
      </c>
      <c r="C600" s="2" t="s">
        <v>43</v>
      </c>
      <c r="D600" s="2" t="s">
        <v>44</v>
      </c>
      <c r="E600" s="5">
        <v>-30254</v>
      </c>
      <c r="F600" s="3" t="s">
        <v>124</v>
      </c>
      <c r="G600" s="3" t="s">
        <v>57</v>
      </c>
      <c r="H600" s="2" t="s">
        <v>21</v>
      </c>
      <c r="I600" s="2" t="s">
        <v>1589</v>
      </c>
      <c r="J600" s="3" t="str">
        <f>HYPERLINK("https://www.boe.es/gazeta/dias/1817/03/01/pdfs/GMD-1817-26.pdf#page=6","Abrir facsímil")</f>
        <v>Abrir facsímil</v>
      </c>
      <c r="K600" s="3" t="s">
        <v>23</v>
      </c>
    </row>
    <row r="601" spans="1:11" ht="42" customHeight="1">
      <c r="A601" s="2" t="s">
        <v>1590</v>
      </c>
      <c r="B601" s="2" t="s">
        <v>1591</v>
      </c>
      <c r="C601" s="2" t="s">
        <v>1325</v>
      </c>
      <c r="D601" s="2" t="s">
        <v>18</v>
      </c>
      <c r="E601" s="5">
        <v>-30039</v>
      </c>
      <c r="F601" s="3" t="s">
        <v>558</v>
      </c>
      <c r="G601" s="3" t="s">
        <v>1592</v>
      </c>
      <c r="H601" s="2" t="s">
        <v>21</v>
      </c>
      <c r="I601" s="2" t="s">
        <v>1593</v>
      </c>
      <c r="J601" s="3" t="str">
        <f>HYPERLINK("https://www.boe.es/gazeta/dias/1817/10/02/pdfs/GMD-1817-118.pdf#page=6","Abrir facsímil")</f>
        <v>Abrir facsímil</v>
      </c>
      <c r="K601" s="3" t="s">
        <v>23</v>
      </c>
    </row>
    <row r="602" spans="1:11" ht="42" customHeight="1">
      <c r="A602" s="2" t="s">
        <v>1594</v>
      </c>
      <c r="B602" s="2" t="s">
        <v>1595</v>
      </c>
      <c r="C602" s="2" t="s">
        <v>49</v>
      </c>
      <c r="D602" s="2" t="s">
        <v>44</v>
      </c>
      <c r="E602" s="5">
        <v>-30097</v>
      </c>
      <c r="F602" s="3" t="s">
        <v>156</v>
      </c>
      <c r="G602" s="3" t="s">
        <v>1596</v>
      </c>
      <c r="H602" s="2" t="s">
        <v>21</v>
      </c>
      <c r="I602" s="2" t="s">
        <v>1597</v>
      </c>
      <c r="J602" s="3" t="str">
        <f>HYPERLINK("https://www.boe.es/gazeta/dias/1817/08/05/pdfs/GMD-1817-93.pdf#page=6","Abrir facsímil")</f>
        <v>Abrir facsímil</v>
      </c>
      <c r="K602" s="3" t="s">
        <v>23</v>
      </c>
    </row>
    <row r="603" spans="1:11" ht="42" customHeight="1">
      <c r="A603" s="2" t="s">
        <v>1598</v>
      </c>
      <c r="B603" s="2" t="s">
        <v>1599</v>
      </c>
      <c r="C603" s="2" t="s">
        <v>17</v>
      </c>
      <c r="D603" s="2" t="s">
        <v>18</v>
      </c>
      <c r="E603" s="5">
        <v>-30011</v>
      </c>
      <c r="F603" s="3" t="s">
        <v>313</v>
      </c>
      <c r="G603" s="3" t="s">
        <v>82</v>
      </c>
      <c r="H603" s="2" t="s">
        <v>27</v>
      </c>
      <c r="I603" s="2" t="s">
        <v>1600</v>
      </c>
      <c r="J603" s="3" t="str">
        <f>HYPERLINK("https://www.boe.es/gazeta/dias/1817/10/30/pdfs/GMD-1817-130.pdf#page=12","Abrir facsímil")</f>
        <v>Abrir facsímil</v>
      </c>
      <c r="K603" s="3" t="s">
        <v>29</v>
      </c>
    </row>
    <row r="604" spans="1:11" ht="42" customHeight="1">
      <c r="A604" s="2" t="s">
        <v>1601</v>
      </c>
      <c r="B604" s="2" t="s">
        <v>1602</v>
      </c>
      <c r="C604" s="2" t="s">
        <v>49</v>
      </c>
      <c r="D604" s="2" t="s">
        <v>44</v>
      </c>
      <c r="E604" s="5">
        <v>-29967</v>
      </c>
      <c r="F604" s="3" t="s">
        <v>183</v>
      </c>
      <c r="G604" s="3" t="s">
        <v>20</v>
      </c>
      <c r="H604" s="2" t="s">
        <v>21</v>
      </c>
      <c r="I604" s="2" t="s">
        <v>1603</v>
      </c>
      <c r="J604" s="3" t="str">
        <f>HYPERLINK("https://www.boe.es/gazeta/dias/1817/12/13/pdfs/GMD-1817-149.pdf#page=7","Abrir facsímil")</f>
        <v>Abrir facsímil</v>
      </c>
      <c r="K604" s="3" t="s">
        <v>23</v>
      </c>
    </row>
    <row r="605" spans="1:11" ht="42" customHeight="1">
      <c r="A605" s="2" t="s">
        <v>1604</v>
      </c>
      <c r="B605" s="2" t="s">
        <v>1605</v>
      </c>
      <c r="C605" s="2" t="s">
        <v>36</v>
      </c>
      <c r="D605" s="2" t="s">
        <v>37</v>
      </c>
      <c r="E605" s="5">
        <v>-30088</v>
      </c>
      <c r="F605" s="3" t="s">
        <v>244</v>
      </c>
      <c r="G605" s="3" t="s">
        <v>245</v>
      </c>
      <c r="H605" s="2" t="s">
        <v>21</v>
      </c>
      <c r="I605" s="2" t="s">
        <v>1606</v>
      </c>
      <c r="J605" s="3" t="str">
        <f>HYPERLINK("https://www.boe.es/gazeta/dias/1817/08/14/pdfs/GMD-1817-97.pdf#page=8","Abrir facsímil")</f>
        <v>Abrir facsímil</v>
      </c>
      <c r="K605" s="3" t="s">
        <v>23</v>
      </c>
    </row>
    <row r="606" spans="1:11" ht="42" customHeight="1">
      <c r="A606" s="2" t="s">
        <v>1607</v>
      </c>
      <c r="B606" s="2" t="s">
        <v>1608</v>
      </c>
      <c r="C606" s="2" t="s">
        <v>36</v>
      </c>
      <c r="D606" s="2" t="s">
        <v>37</v>
      </c>
      <c r="E606" s="5">
        <v>-30027</v>
      </c>
      <c r="F606" s="3" t="s">
        <v>173</v>
      </c>
      <c r="G606" s="3" t="s">
        <v>708</v>
      </c>
      <c r="H606" s="2" t="s">
        <v>21</v>
      </c>
      <c r="I606" s="2" t="s">
        <v>1609</v>
      </c>
      <c r="J606" s="3" t="str">
        <f>HYPERLINK("https://www.boe.es/gazeta/dias/1817/10/14/pdfs/GMD-1817-123.pdf#page=6","Abrir facsímil")</f>
        <v>Abrir facsímil</v>
      </c>
      <c r="K606" s="3" t="s">
        <v>23</v>
      </c>
    </row>
    <row r="607" spans="1:11" ht="42" customHeight="1">
      <c r="A607" s="2" t="s">
        <v>1610</v>
      </c>
      <c r="B607" s="2" t="s">
        <v>1610</v>
      </c>
      <c r="C607" s="2" t="s">
        <v>36</v>
      </c>
      <c r="D607" s="2" t="s">
        <v>37</v>
      </c>
      <c r="E607" s="5">
        <v>-30202</v>
      </c>
      <c r="F607" s="3" t="s">
        <v>418</v>
      </c>
      <c r="G607" s="3" t="s">
        <v>72</v>
      </c>
      <c r="H607" s="2" t="s">
        <v>21</v>
      </c>
      <c r="I607" s="2" t="s">
        <v>1611</v>
      </c>
      <c r="J607" s="3" t="str">
        <f>HYPERLINK("https://www.boe.es/gazeta/dias/1817/04/22/pdfs/GMD-1817-48.pdf#page=1","Abrir facsímil")</f>
        <v>Abrir facsímil</v>
      </c>
      <c r="K607" s="3" t="s">
        <v>23</v>
      </c>
    </row>
    <row r="608" spans="1:11" ht="42" customHeight="1">
      <c r="A608" s="2" t="s">
        <v>1612</v>
      </c>
      <c r="B608" s="2" t="s">
        <v>1613</v>
      </c>
      <c r="C608" s="2" t="s">
        <v>36</v>
      </c>
      <c r="D608" s="2" t="s">
        <v>37</v>
      </c>
      <c r="E608" s="5">
        <v>-29950</v>
      </c>
      <c r="F608" s="3" t="s">
        <v>185</v>
      </c>
      <c r="G608" s="3" t="s">
        <v>1614</v>
      </c>
      <c r="H608" s="2" t="s">
        <v>21</v>
      </c>
      <c r="I608" s="2" t="s">
        <v>1615</v>
      </c>
      <c r="J608" s="3" t="str">
        <f>HYPERLINK("https://www.boe.es/gazeta/dias/1817/12/30/pdfs/GMD-1817-156.pdf#page=4","Abrir facsímil")</f>
        <v>Abrir facsímil</v>
      </c>
      <c r="K608" s="3" t="s">
        <v>23</v>
      </c>
    </row>
    <row r="609" spans="1:11" ht="42" customHeight="1">
      <c r="A609" s="2" t="s">
        <v>1616</v>
      </c>
      <c r="B609" s="2" t="s">
        <v>1617</v>
      </c>
      <c r="C609" s="2" t="s">
        <v>55</v>
      </c>
      <c r="D609" s="2" t="s">
        <v>44</v>
      </c>
      <c r="E609" s="5">
        <v>-30058</v>
      </c>
      <c r="F609" s="3" t="s">
        <v>1385</v>
      </c>
      <c r="G609" s="3" t="s">
        <v>57</v>
      </c>
      <c r="H609" s="2" t="s">
        <v>21</v>
      </c>
      <c r="I609" s="2" t="s">
        <v>1618</v>
      </c>
      <c r="J609" s="3" t="str">
        <f>HYPERLINK("https://www.boe.es/gazeta/dias/1817/09/13/pdfs/GMD-1817-110.pdf#page=6","Abrir facsímil")</f>
        <v>Abrir facsímil</v>
      </c>
      <c r="K609" s="3" t="s">
        <v>23</v>
      </c>
    </row>
    <row r="610" spans="1:11" ht="42" customHeight="1">
      <c r="A610" s="2" t="s">
        <v>1619</v>
      </c>
      <c r="B610" s="2" t="s">
        <v>1620</v>
      </c>
      <c r="C610" s="2" t="s">
        <v>43</v>
      </c>
      <c r="D610" s="2" t="s">
        <v>44</v>
      </c>
      <c r="E610" s="5">
        <v>-30142</v>
      </c>
      <c r="F610" s="3" t="s">
        <v>286</v>
      </c>
      <c r="G610" s="3" t="s">
        <v>144</v>
      </c>
      <c r="H610" s="2" t="s">
        <v>21</v>
      </c>
      <c r="I610" s="2" t="s">
        <v>1621</v>
      </c>
      <c r="J610" s="3" t="str">
        <f>HYPERLINK("https://www.boe.es/gazeta/dias/1817/06/21/pdfs/GMD-1817-74.pdf#page=4","Abrir facsímil")</f>
        <v>Abrir facsímil</v>
      </c>
      <c r="K610" s="3" t="s">
        <v>23</v>
      </c>
    </row>
    <row r="611" spans="1:11" ht="42" customHeight="1">
      <c r="A611" s="2" t="s">
        <v>1619</v>
      </c>
      <c r="B611" s="2" t="s">
        <v>1620</v>
      </c>
      <c r="C611" s="2" t="s">
        <v>17</v>
      </c>
      <c r="D611" s="2" t="s">
        <v>18</v>
      </c>
      <c r="E611" s="5">
        <v>-30142</v>
      </c>
      <c r="F611" s="3" t="s">
        <v>286</v>
      </c>
      <c r="G611" s="3" t="s">
        <v>39</v>
      </c>
      <c r="H611" s="2" t="s">
        <v>21</v>
      </c>
      <c r="I611" s="2" t="s">
        <v>1622</v>
      </c>
      <c r="J611" s="3" t="str">
        <f>HYPERLINK("https://www.boe.es/gazeta/dias/1817/06/21/pdfs/GMD-1817-74.pdf#page=5","Abrir facsímil")</f>
        <v>Abrir facsímil</v>
      </c>
      <c r="K611" s="3" t="s">
        <v>23</v>
      </c>
    </row>
    <row r="612" spans="1:11" ht="42" customHeight="1">
      <c r="A612" s="2" t="s">
        <v>1623</v>
      </c>
      <c r="B612" s="2" t="s">
        <v>1624</v>
      </c>
      <c r="C612" s="2" t="s">
        <v>17</v>
      </c>
      <c r="D612" s="2" t="s">
        <v>18</v>
      </c>
      <c r="E612" s="5">
        <v>-29990</v>
      </c>
      <c r="F612" s="3" t="s">
        <v>542</v>
      </c>
      <c r="G612" s="3" t="s">
        <v>20</v>
      </c>
      <c r="H612" s="2" t="s">
        <v>21</v>
      </c>
      <c r="I612" s="2" t="s">
        <v>1625</v>
      </c>
      <c r="J612" s="3" t="str">
        <f>HYPERLINK("https://www.boe.es/gazeta/dias/1817/11/20/pdfs/GMD-1817-139.pdf#page=7","Abrir facsímil")</f>
        <v>Abrir facsímil</v>
      </c>
      <c r="K612" s="3" t="s">
        <v>23</v>
      </c>
    </row>
    <row r="613" spans="1:11" ht="42" customHeight="1">
      <c r="A613" s="2" t="s">
        <v>1626</v>
      </c>
      <c r="B613" s="2" t="s">
        <v>1627</v>
      </c>
      <c r="C613" s="2" t="s">
        <v>17</v>
      </c>
      <c r="D613" s="2" t="s">
        <v>18</v>
      </c>
      <c r="E613" s="5">
        <v>-29985</v>
      </c>
      <c r="F613" s="3" t="s">
        <v>76</v>
      </c>
      <c r="G613" s="3" t="s">
        <v>112</v>
      </c>
      <c r="H613" s="2" t="s">
        <v>21</v>
      </c>
      <c r="I613" s="2" t="s">
        <v>1628</v>
      </c>
      <c r="J613" s="3" t="str">
        <f>HYPERLINK("https://www.boe.es/gazeta/dias/1817/11/25/pdfs/GMD-1817-141.pdf#page=11","Abrir facsímil")</f>
        <v>Abrir facsímil</v>
      </c>
      <c r="K613" s="3" t="s">
        <v>23</v>
      </c>
    </row>
    <row r="614" spans="1:11" ht="42" customHeight="1">
      <c r="A614" s="2" t="s">
        <v>1623</v>
      </c>
      <c r="B614" s="2" t="s">
        <v>1624</v>
      </c>
      <c r="C614" s="2" t="s">
        <v>17</v>
      </c>
      <c r="D614" s="2" t="s">
        <v>18</v>
      </c>
      <c r="E614" s="5">
        <v>-29981</v>
      </c>
      <c r="F614" s="3" t="s">
        <v>111</v>
      </c>
      <c r="G614" s="3" t="s">
        <v>112</v>
      </c>
      <c r="H614" s="2" t="s">
        <v>21</v>
      </c>
      <c r="I614" s="2" t="s">
        <v>1629</v>
      </c>
      <c r="J614" s="3" t="str">
        <f>HYPERLINK("https://www.boe.es/gazeta/dias/1817/11/29/pdfs/GMD-1817-143.pdf#page=11","Abrir facsímil")</f>
        <v>Abrir facsímil</v>
      </c>
      <c r="K614" s="3" t="s">
        <v>23</v>
      </c>
    </row>
    <row r="615" spans="1:11" ht="42" customHeight="1">
      <c r="A615" s="2" t="s">
        <v>1630</v>
      </c>
      <c r="B615" s="2" t="s">
        <v>1630</v>
      </c>
      <c r="C615" s="2" t="s">
        <v>43</v>
      </c>
      <c r="D615" s="2" t="s">
        <v>44</v>
      </c>
      <c r="E615" s="5">
        <v>-30254</v>
      </c>
      <c r="F615" s="3" t="s">
        <v>124</v>
      </c>
      <c r="G615" s="3" t="s">
        <v>551</v>
      </c>
      <c r="H615" s="2" t="s">
        <v>21</v>
      </c>
      <c r="I615" s="2" t="s">
        <v>1631</v>
      </c>
      <c r="J615" s="3" t="str">
        <f>HYPERLINK("https://www.boe.es/gazeta/dias/1817/03/01/pdfs/GMD-1817-26.pdf#page=3","Abrir facsímil")</f>
        <v>Abrir facsímil</v>
      </c>
      <c r="K615" s="3" t="s">
        <v>23</v>
      </c>
    </row>
    <row r="616" spans="1:11" ht="42" customHeight="1">
      <c r="A616" s="2" t="s">
        <v>1632</v>
      </c>
      <c r="B616" s="2" t="s">
        <v>1633</v>
      </c>
      <c r="C616" s="2" t="s">
        <v>97</v>
      </c>
      <c r="D616" s="2" t="s">
        <v>44</v>
      </c>
      <c r="E616" s="5">
        <v>-30062</v>
      </c>
      <c r="F616" s="3" t="s">
        <v>444</v>
      </c>
      <c r="G616" s="3" t="s">
        <v>112</v>
      </c>
      <c r="H616" s="2" t="s">
        <v>21</v>
      </c>
      <c r="I616" s="2" t="s">
        <v>1634</v>
      </c>
      <c r="J616" s="3" t="str">
        <f>HYPERLINK("https://www.boe.es/gazeta/dias/1817/09/09/pdfs/GMD-1817-108.pdf#page=11","Abrir facsímil")</f>
        <v>Abrir facsímil</v>
      </c>
      <c r="K616" s="3" t="s">
        <v>23</v>
      </c>
    </row>
    <row r="617" spans="1:11" ht="42" customHeight="1">
      <c r="A617" s="2" t="s">
        <v>1635</v>
      </c>
      <c r="B617" s="2" t="s">
        <v>1636</v>
      </c>
      <c r="C617" s="2" t="s">
        <v>17</v>
      </c>
      <c r="D617" s="2" t="s">
        <v>18</v>
      </c>
      <c r="E617" s="5">
        <v>-30004</v>
      </c>
      <c r="F617" s="3" t="s">
        <v>329</v>
      </c>
      <c r="G617" s="3" t="s">
        <v>77</v>
      </c>
      <c r="H617" s="2" t="s">
        <v>21</v>
      </c>
      <c r="I617" s="2" t="s">
        <v>1637</v>
      </c>
      <c r="J617" s="3" t="str">
        <f>HYPERLINK("https://www.boe.es/gazeta/dias/1817/11/06/pdfs/GMD-1817-133.pdf#page=8","Abrir facsímil")</f>
        <v>Abrir facsímil</v>
      </c>
      <c r="K617" s="3" t="s">
        <v>23</v>
      </c>
    </row>
    <row r="618" spans="1:11" ht="42" customHeight="1">
      <c r="A618" s="2" t="s">
        <v>1638</v>
      </c>
      <c r="B618" s="2" t="s">
        <v>1639</v>
      </c>
      <c r="C618" s="2" t="s">
        <v>36</v>
      </c>
      <c r="D618" s="2" t="s">
        <v>37</v>
      </c>
      <c r="E618" s="5">
        <v>-30312</v>
      </c>
      <c r="F618" s="3" t="s">
        <v>86</v>
      </c>
      <c r="G618" s="3" t="s">
        <v>1640</v>
      </c>
      <c r="H618" s="2" t="s">
        <v>21</v>
      </c>
      <c r="I618" s="2" t="s">
        <v>1641</v>
      </c>
      <c r="J618" s="3" t="str">
        <f>HYPERLINK("https://www.boe.es/gazeta/dias/1817/01/02/pdfs/GMD-1817-1.pdf#page=6","Abrir facsímil")</f>
        <v>Abrir facsímil</v>
      </c>
      <c r="K618" s="3" t="s">
        <v>23</v>
      </c>
    </row>
    <row r="619" spans="1:11" ht="42" customHeight="1">
      <c r="A619" s="2" t="s">
        <v>1638</v>
      </c>
      <c r="B619" s="2" t="s">
        <v>1639</v>
      </c>
      <c r="C619" s="2" t="s">
        <v>36</v>
      </c>
      <c r="D619" s="2" t="s">
        <v>37</v>
      </c>
      <c r="E619" s="5">
        <v>-30305</v>
      </c>
      <c r="F619" s="3" t="s">
        <v>405</v>
      </c>
      <c r="G619" s="3" t="s">
        <v>20</v>
      </c>
      <c r="H619" s="2" t="s">
        <v>21</v>
      </c>
      <c r="I619" s="2" t="s">
        <v>1642</v>
      </c>
      <c r="J619" s="3" t="str">
        <f>HYPERLINK("https://www.boe.es/gazeta/dias/1817/01/09/pdfs/GMD-1817-4.pdf#page=7","Abrir facsímil")</f>
        <v>Abrir facsímil</v>
      </c>
      <c r="K619" s="3" t="s">
        <v>23</v>
      </c>
    </row>
    <row r="620" spans="1:11" ht="42" customHeight="1">
      <c r="A620" s="2" t="s">
        <v>1643</v>
      </c>
      <c r="B620" s="2" t="s">
        <v>1644</v>
      </c>
      <c r="C620" s="2" t="s">
        <v>36</v>
      </c>
      <c r="D620" s="2" t="s">
        <v>37</v>
      </c>
      <c r="E620" s="5">
        <v>-30233</v>
      </c>
      <c r="F620" s="3" t="s">
        <v>577</v>
      </c>
      <c r="G620" s="3" t="s">
        <v>20</v>
      </c>
      <c r="H620" s="2" t="s">
        <v>21</v>
      </c>
      <c r="I620" s="2" t="s">
        <v>1645</v>
      </c>
      <c r="J620" s="3" t="str">
        <f>HYPERLINK("https://www.boe.es/gazeta/dias/1817/03/22/pdfs/GMD-1817-35.pdf#page=7","Abrir facsímil")</f>
        <v>Abrir facsímil</v>
      </c>
      <c r="K620" s="3" t="s">
        <v>23</v>
      </c>
    </row>
    <row r="621" spans="1:11" ht="42" customHeight="1">
      <c r="A621" s="2" t="s">
        <v>1646</v>
      </c>
      <c r="B621" s="2" t="s">
        <v>1647</v>
      </c>
      <c r="C621" s="2" t="s">
        <v>17</v>
      </c>
      <c r="D621" s="2" t="s">
        <v>18</v>
      </c>
      <c r="E621" s="5">
        <v>-30293</v>
      </c>
      <c r="F621" s="3" t="s">
        <v>143</v>
      </c>
      <c r="G621" s="3" t="s">
        <v>20</v>
      </c>
      <c r="H621" s="2" t="s">
        <v>21</v>
      </c>
      <c r="I621" s="2" t="s">
        <v>1648</v>
      </c>
      <c r="J621" s="3" t="str">
        <f>HYPERLINK("https://www.boe.es/gazeta/dias/1817/01/21/pdfs/GMD-1817-9.pdf#page=7","Abrir facsímil")</f>
        <v>Abrir facsímil</v>
      </c>
      <c r="K621" s="3" t="s">
        <v>23</v>
      </c>
    </row>
    <row r="622" spans="1:11" ht="42" customHeight="1">
      <c r="A622" s="2" t="s">
        <v>1649</v>
      </c>
      <c r="B622" s="2" t="s">
        <v>1650</v>
      </c>
      <c r="C622" s="2" t="s">
        <v>55</v>
      </c>
      <c r="D622" s="2" t="s">
        <v>44</v>
      </c>
      <c r="E622" s="5">
        <v>-30135</v>
      </c>
      <c r="F622" s="3" t="s">
        <v>239</v>
      </c>
      <c r="G622" s="3" t="s">
        <v>240</v>
      </c>
      <c r="H622" s="2" t="s">
        <v>21</v>
      </c>
      <c r="I622" s="2" t="s">
        <v>1651</v>
      </c>
      <c r="J622" s="3" t="str">
        <f>HYPERLINK("https://www.boe.es/gazeta/dias/1817/06/28/pdfs/GMD-1817-77.pdf#page=7","Abrir facsímil")</f>
        <v>Abrir facsímil</v>
      </c>
      <c r="K622" s="3" t="s">
        <v>23</v>
      </c>
    </row>
    <row r="623" spans="1:11" ht="42" customHeight="1">
      <c r="A623" s="2" t="s">
        <v>1652</v>
      </c>
      <c r="B623" s="2" t="s">
        <v>1653</v>
      </c>
      <c r="C623" s="2" t="s">
        <v>36</v>
      </c>
      <c r="D623" s="2" t="s">
        <v>37</v>
      </c>
      <c r="E623" s="5">
        <v>-30039</v>
      </c>
      <c r="F623" s="3" t="s">
        <v>558</v>
      </c>
      <c r="G623" s="3" t="s">
        <v>1592</v>
      </c>
      <c r="H623" s="2" t="s">
        <v>21</v>
      </c>
      <c r="I623" s="2" t="s">
        <v>1654</v>
      </c>
      <c r="J623" s="3" t="str">
        <f>HYPERLINK("https://www.boe.es/gazeta/dias/1817/10/02/pdfs/GMD-1817-118.pdf#page=6","Abrir facsímil")</f>
        <v>Abrir facsímil</v>
      </c>
      <c r="K623" s="3" t="s">
        <v>23</v>
      </c>
    </row>
    <row r="624" spans="1:11" ht="42" customHeight="1">
      <c r="A624" s="2" t="s">
        <v>1655</v>
      </c>
      <c r="B624" s="2" t="s">
        <v>1656</v>
      </c>
      <c r="C624" s="2" t="s">
        <v>43</v>
      </c>
      <c r="D624" s="2" t="s">
        <v>44</v>
      </c>
      <c r="E624" s="5">
        <v>-30013</v>
      </c>
      <c r="F624" s="3" t="s">
        <v>464</v>
      </c>
      <c r="G624" s="3" t="s">
        <v>39</v>
      </c>
      <c r="H624" s="2" t="s">
        <v>21</v>
      </c>
      <c r="I624" s="2" t="s">
        <v>1657</v>
      </c>
      <c r="J624" s="3" t="str">
        <f>HYPERLINK("https://www.boe.es/gazeta/dias/1817/10/28/pdfs/GMD-1817-129.pdf#page=5","Abrir facsímil")</f>
        <v>Abrir facsímil</v>
      </c>
      <c r="K624" s="3" t="s">
        <v>23</v>
      </c>
    </row>
    <row r="625" spans="1:11" ht="42" customHeight="1">
      <c r="A625" s="2" t="s">
        <v>1658</v>
      </c>
      <c r="B625" s="2" t="s">
        <v>1659</v>
      </c>
      <c r="C625" s="2" t="s">
        <v>43</v>
      </c>
      <c r="D625" s="2" t="s">
        <v>44</v>
      </c>
      <c r="E625" s="5">
        <v>-30312</v>
      </c>
      <c r="F625" s="3" t="s">
        <v>86</v>
      </c>
      <c r="G625" s="3" t="s">
        <v>87</v>
      </c>
      <c r="H625" s="2" t="s">
        <v>21</v>
      </c>
      <c r="I625" s="2" t="s">
        <v>1660</v>
      </c>
      <c r="J625" s="3" t="str">
        <f>HYPERLINK("https://www.boe.es/gazeta/dias/1817/01/02/pdfs/GMD-1817-1.pdf#page=4","Abrir facsímil")</f>
        <v>Abrir facsímil</v>
      </c>
      <c r="K625" s="3" t="s">
        <v>23</v>
      </c>
    </row>
    <row r="626" spans="1:11" ht="42" customHeight="1">
      <c r="A626" s="2" t="s">
        <v>1661</v>
      </c>
      <c r="B626" s="2" t="s">
        <v>1662</v>
      </c>
      <c r="C626" s="2" t="s">
        <v>17</v>
      </c>
      <c r="D626" s="2" t="s">
        <v>18</v>
      </c>
      <c r="E626" s="5">
        <v>-30261</v>
      </c>
      <c r="F626" s="3" t="s">
        <v>226</v>
      </c>
      <c r="G626" s="3" t="s">
        <v>57</v>
      </c>
      <c r="H626" s="2" t="s">
        <v>21</v>
      </c>
      <c r="I626" s="2" t="s">
        <v>1663</v>
      </c>
      <c r="J626" s="3" t="str">
        <f>HYPERLINK("https://www.boe.es/gazeta/dias/1817/02/22/pdfs/GMD-1817-23.pdf#page=6","Abrir facsímil")</f>
        <v>Abrir facsímil</v>
      </c>
      <c r="K626" s="3" t="s">
        <v>23</v>
      </c>
    </row>
    <row r="627" spans="1:11" ht="42" customHeight="1">
      <c r="A627" s="2" t="s">
        <v>1664</v>
      </c>
      <c r="B627" s="2" t="s">
        <v>1665</v>
      </c>
      <c r="C627" s="2" t="s">
        <v>17</v>
      </c>
      <c r="D627" s="2" t="s">
        <v>18</v>
      </c>
      <c r="E627" s="5">
        <v>-30293</v>
      </c>
      <c r="F627" s="3" t="s">
        <v>143</v>
      </c>
      <c r="G627" s="3" t="s">
        <v>1666</v>
      </c>
      <c r="H627" s="2" t="s">
        <v>21</v>
      </c>
      <c r="I627" s="2" t="s">
        <v>1667</v>
      </c>
      <c r="J627" s="3" t="str">
        <f>HYPERLINK("https://www.boe.es/gazeta/dias/1817/01/21/pdfs/GMD-1817-9.pdf#page=6","Abrir facsímil")</f>
        <v>Abrir facsímil</v>
      </c>
      <c r="K627" s="3" t="s">
        <v>23</v>
      </c>
    </row>
    <row r="628" spans="1:11" ht="42" customHeight="1">
      <c r="A628" s="2" t="s">
        <v>1668</v>
      </c>
      <c r="B628" s="2" t="s">
        <v>1669</v>
      </c>
      <c r="C628" s="2" t="s">
        <v>36</v>
      </c>
      <c r="D628" s="2" t="s">
        <v>37</v>
      </c>
      <c r="E628" s="5">
        <v>-30065</v>
      </c>
      <c r="F628" s="3" t="s">
        <v>201</v>
      </c>
      <c r="G628" s="3" t="s">
        <v>20</v>
      </c>
      <c r="H628" s="2" t="s">
        <v>21</v>
      </c>
      <c r="I628" s="2" t="s">
        <v>1670</v>
      </c>
      <c r="J628" s="3" t="str">
        <f>HYPERLINK("https://www.boe.es/gazeta/dias/1817/09/06/pdfs/GMD-1817-107.pdf#page=7","Abrir facsímil")</f>
        <v>Abrir facsímil</v>
      </c>
      <c r="K628" s="3" t="s">
        <v>23</v>
      </c>
    </row>
    <row r="629" spans="1:11" ht="42" customHeight="1">
      <c r="A629" s="2" t="s">
        <v>1671</v>
      </c>
      <c r="B629" s="2" t="s">
        <v>1672</v>
      </c>
      <c r="C629" s="2" t="s">
        <v>55</v>
      </c>
      <c r="D629" s="2" t="s">
        <v>44</v>
      </c>
      <c r="E629" s="5">
        <v>-30258</v>
      </c>
      <c r="F629" s="3" t="s">
        <v>234</v>
      </c>
      <c r="G629" s="3" t="s">
        <v>144</v>
      </c>
      <c r="H629" s="2" t="s">
        <v>21</v>
      </c>
      <c r="I629" s="2" t="s">
        <v>1673</v>
      </c>
      <c r="J629" s="3" t="str">
        <f>HYPERLINK("https://www.boe.es/gazeta/dias/1817/02/25/pdfs/GMD-1817-24.pdf#page=4","Abrir facsímil")</f>
        <v>Abrir facsímil</v>
      </c>
      <c r="K629" s="3" t="s">
        <v>23</v>
      </c>
    </row>
    <row r="630" spans="1:11" ht="42" customHeight="1">
      <c r="A630" s="2" t="s">
        <v>1674</v>
      </c>
      <c r="B630" s="2" t="s">
        <v>1674</v>
      </c>
      <c r="C630" s="2" t="s">
        <v>36</v>
      </c>
      <c r="D630" s="2" t="s">
        <v>37</v>
      </c>
      <c r="E630" s="5">
        <v>-30286</v>
      </c>
      <c r="F630" s="3" t="s">
        <v>354</v>
      </c>
      <c r="G630" s="3" t="s">
        <v>551</v>
      </c>
      <c r="H630" s="2" t="s">
        <v>21</v>
      </c>
      <c r="I630" s="2" t="s">
        <v>1675</v>
      </c>
      <c r="J630" s="3" t="str">
        <f>HYPERLINK("https://www.boe.es/gazeta/dias/1817/01/28/pdfs/GMD-1817-12.pdf#page=3","Abrir facsímil")</f>
        <v>Abrir facsímil</v>
      </c>
      <c r="K630" s="3" t="s">
        <v>23</v>
      </c>
    </row>
    <row r="631" spans="1:11" ht="42" customHeight="1">
      <c r="A631" s="2" t="s">
        <v>1676</v>
      </c>
      <c r="B631" s="2" t="s">
        <v>1676</v>
      </c>
      <c r="C631" s="2" t="s">
        <v>36</v>
      </c>
      <c r="D631" s="2" t="s">
        <v>37</v>
      </c>
      <c r="E631" s="5">
        <v>-30195</v>
      </c>
      <c r="F631" s="3" t="s">
        <v>1163</v>
      </c>
      <c r="G631" s="3" t="s">
        <v>72</v>
      </c>
      <c r="H631" s="2" t="s">
        <v>21</v>
      </c>
      <c r="I631" s="2" t="s">
        <v>1677</v>
      </c>
      <c r="J631" s="3" t="str">
        <f>HYPERLINK("https://www.boe.es/gazeta/dias/1817/04/29/pdfs/GMD-1817-51.pdf#page=1","Abrir facsímil")</f>
        <v>Abrir facsímil</v>
      </c>
      <c r="K631" s="3" t="s">
        <v>23</v>
      </c>
    </row>
    <row r="632" spans="1:11" ht="42" customHeight="1">
      <c r="A632" s="2" t="s">
        <v>1676</v>
      </c>
      <c r="B632" s="2" t="s">
        <v>1676</v>
      </c>
      <c r="C632" s="2" t="s">
        <v>510</v>
      </c>
      <c r="D632" s="2" t="s">
        <v>44</v>
      </c>
      <c r="E632" s="5">
        <v>-30130</v>
      </c>
      <c r="F632" s="3" t="s">
        <v>768</v>
      </c>
      <c r="G632" s="3" t="s">
        <v>629</v>
      </c>
      <c r="H632" s="2" t="s">
        <v>21</v>
      </c>
      <c r="I632" s="2" t="s">
        <v>1678</v>
      </c>
      <c r="J632" s="3" t="str">
        <f>HYPERLINK("https://www.boe.es/gazeta/dias/1817/07/03/pdfs/GMD-1817-79.pdf#page=2","Abrir facsímil")</f>
        <v>Abrir facsímil</v>
      </c>
      <c r="K632" s="3" t="s">
        <v>23</v>
      </c>
    </row>
    <row r="633" spans="1:11" ht="42" customHeight="1">
      <c r="A633" s="2" t="s">
        <v>1679</v>
      </c>
      <c r="B633" s="2" t="s">
        <v>1680</v>
      </c>
      <c r="C633" s="2" t="s">
        <v>17</v>
      </c>
      <c r="D633" s="2" t="s">
        <v>18</v>
      </c>
      <c r="E633" s="5">
        <v>-30086</v>
      </c>
      <c r="F633" s="3" t="s">
        <v>221</v>
      </c>
      <c r="G633" s="3" t="s">
        <v>72</v>
      </c>
      <c r="H633" s="2" t="s">
        <v>21</v>
      </c>
      <c r="I633" s="2" t="s">
        <v>1681</v>
      </c>
      <c r="J633" s="3" t="str">
        <f>HYPERLINK("https://www.boe.es/gazeta/dias/1817/08/16/pdfs/GMD-1817-98.pdf#page=1","Abrir facsímil")</f>
        <v>Abrir facsímil</v>
      </c>
      <c r="K633" s="3" t="s">
        <v>23</v>
      </c>
    </row>
    <row r="634" spans="1:11" ht="42" customHeight="1">
      <c r="A634" s="2" t="s">
        <v>1682</v>
      </c>
      <c r="B634" s="2" t="s">
        <v>1683</v>
      </c>
      <c r="C634" s="2" t="s">
        <v>55</v>
      </c>
      <c r="D634" s="2" t="s">
        <v>44</v>
      </c>
      <c r="E634" s="5">
        <v>-30312</v>
      </c>
      <c r="F634" s="3" t="s">
        <v>86</v>
      </c>
      <c r="G634" s="3" t="s">
        <v>1684</v>
      </c>
      <c r="H634" s="2" t="s">
        <v>21</v>
      </c>
      <c r="I634" s="2" t="s">
        <v>1685</v>
      </c>
      <c r="J634" s="3" t="str">
        <f>HYPERLINK("https://www.boe.es/gazeta/dias/1817/01/02/pdfs/GMD-1817-1.pdf#page=8","Abrir facsímil")</f>
        <v>Abrir facsímil</v>
      </c>
      <c r="K634" s="3" t="s">
        <v>23</v>
      </c>
    </row>
    <row r="635" spans="1:11" ht="42" customHeight="1">
      <c r="A635" s="2" t="s">
        <v>1686</v>
      </c>
      <c r="B635" s="2" t="s">
        <v>1687</v>
      </c>
      <c r="C635" s="2" t="s">
        <v>36</v>
      </c>
      <c r="D635" s="2" t="s">
        <v>37</v>
      </c>
      <c r="E635" s="5">
        <v>-30200</v>
      </c>
      <c r="F635" s="3" t="s">
        <v>725</v>
      </c>
      <c r="G635" s="3" t="s">
        <v>57</v>
      </c>
      <c r="H635" s="2" t="s">
        <v>21</v>
      </c>
      <c r="I635" s="2" t="s">
        <v>1688</v>
      </c>
      <c r="J635" s="3" t="str">
        <f>HYPERLINK("https://www.boe.es/gazeta/dias/1817/04/24/pdfs/GMD-1817-49.pdf#page=6","Abrir facsímil")</f>
        <v>Abrir facsímil</v>
      </c>
      <c r="K635" s="3" t="s">
        <v>23</v>
      </c>
    </row>
    <row r="636" spans="1:11" ht="42" customHeight="1">
      <c r="A636" s="2" t="s">
        <v>1689</v>
      </c>
      <c r="B636" s="2" t="s">
        <v>1690</v>
      </c>
      <c r="C636" s="2" t="s">
        <v>36</v>
      </c>
      <c r="D636" s="2" t="s">
        <v>37</v>
      </c>
      <c r="E636" s="5">
        <v>-30200</v>
      </c>
      <c r="F636" s="3" t="s">
        <v>725</v>
      </c>
      <c r="G636" s="3" t="s">
        <v>57</v>
      </c>
      <c r="H636" s="2" t="s">
        <v>21</v>
      </c>
      <c r="I636" s="2" t="s">
        <v>1691</v>
      </c>
      <c r="J636" s="3" t="str">
        <f>HYPERLINK("https://www.boe.es/gazeta/dias/1817/04/24/pdfs/GMD-1817-49.pdf#page=6","Abrir facsímil")</f>
        <v>Abrir facsímil</v>
      </c>
      <c r="K636" s="3" t="s">
        <v>23</v>
      </c>
    </row>
    <row r="637" spans="1:11" ht="42" customHeight="1">
      <c r="A637" s="2" t="s">
        <v>1692</v>
      </c>
      <c r="B637" s="2" t="s">
        <v>1693</v>
      </c>
      <c r="C637" s="2" t="s">
        <v>138</v>
      </c>
      <c r="D637" s="2" t="s">
        <v>44</v>
      </c>
      <c r="E637" s="5">
        <v>-30104</v>
      </c>
      <c r="F637" s="3" t="s">
        <v>856</v>
      </c>
      <c r="G637" s="3" t="s">
        <v>1277</v>
      </c>
      <c r="H637" s="2" t="s">
        <v>21</v>
      </c>
      <c r="I637" s="2" t="s">
        <v>1694</v>
      </c>
      <c r="J637" s="3" t="str">
        <f>HYPERLINK("https://www.boe.es/gazeta/dias/1817/07/29/pdfs/GMD-1817-90.pdf#page=8","Abrir facsímil")</f>
        <v>Abrir facsímil</v>
      </c>
      <c r="K637" s="3" t="s">
        <v>23</v>
      </c>
    </row>
    <row r="638" spans="1:11" ht="42" customHeight="1">
      <c r="A638" s="2" t="s">
        <v>1695</v>
      </c>
      <c r="B638" s="2" t="s">
        <v>1695</v>
      </c>
      <c r="C638" s="2" t="s">
        <v>17</v>
      </c>
      <c r="D638" s="2" t="s">
        <v>18</v>
      </c>
      <c r="E638" s="5">
        <v>-30286</v>
      </c>
      <c r="F638" s="3" t="s">
        <v>354</v>
      </c>
      <c r="G638" s="3" t="s">
        <v>629</v>
      </c>
      <c r="H638" s="2" t="s">
        <v>21</v>
      </c>
      <c r="I638" s="2" t="s">
        <v>1696</v>
      </c>
      <c r="J638" s="3" t="str">
        <f>HYPERLINK("https://www.boe.es/gazeta/dias/1817/01/28/pdfs/GMD-1817-12.pdf#page=2","Abrir facsímil")</f>
        <v>Abrir facsímil</v>
      </c>
      <c r="K638" s="3" t="s">
        <v>23</v>
      </c>
    </row>
    <row r="639" spans="1:11" ht="42" customHeight="1">
      <c r="A639" s="2" t="s">
        <v>1697</v>
      </c>
      <c r="B639" s="2" t="s">
        <v>1698</v>
      </c>
      <c r="C639" s="2" t="s">
        <v>36</v>
      </c>
      <c r="D639" s="2" t="s">
        <v>37</v>
      </c>
      <c r="E639" s="5">
        <v>-30261</v>
      </c>
      <c r="F639" s="3" t="s">
        <v>226</v>
      </c>
      <c r="G639" s="3" t="s">
        <v>1699</v>
      </c>
      <c r="H639" s="2" t="s">
        <v>21</v>
      </c>
      <c r="I639" s="2" t="s">
        <v>1700</v>
      </c>
      <c r="J639" s="3" t="str">
        <f>HYPERLINK("https://www.boe.es/gazeta/dias/1817/02/22/pdfs/GMD-1817-23.pdf#page=8","Abrir facsímil")</f>
        <v>Abrir facsímil</v>
      </c>
      <c r="K639" s="3" t="s">
        <v>23</v>
      </c>
    </row>
    <row r="640" spans="1:11" ht="42" customHeight="1">
      <c r="A640" s="2" t="s">
        <v>1701</v>
      </c>
      <c r="B640" s="2" t="s">
        <v>1702</v>
      </c>
      <c r="C640" s="2" t="s">
        <v>97</v>
      </c>
      <c r="D640" s="2" t="s">
        <v>44</v>
      </c>
      <c r="E640" s="5">
        <v>-30235</v>
      </c>
      <c r="F640" s="3" t="s">
        <v>398</v>
      </c>
      <c r="G640" s="3" t="s">
        <v>77</v>
      </c>
      <c r="H640" s="2" t="s">
        <v>21</v>
      </c>
      <c r="I640" s="2" t="s">
        <v>1703</v>
      </c>
      <c r="J640" s="3" t="str">
        <f>HYPERLINK("https://www.boe.es/gazeta/dias/1817/03/20/pdfs/GMD-1817-34.pdf#page=8","Abrir facsímil")</f>
        <v>Abrir facsímil</v>
      </c>
      <c r="K640" s="3" t="s">
        <v>23</v>
      </c>
    </row>
    <row r="641" spans="1:11" ht="42" customHeight="1">
      <c r="A641" s="2" t="s">
        <v>1704</v>
      </c>
      <c r="B641" s="2" t="s">
        <v>1705</v>
      </c>
      <c r="C641" s="2" t="s">
        <v>17</v>
      </c>
      <c r="D641" s="2" t="s">
        <v>18</v>
      </c>
      <c r="E641" s="5">
        <v>-30233</v>
      </c>
      <c r="F641" s="3" t="s">
        <v>577</v>
      </c>
      <c r="G641" s="3" t="s">
        <v>20</v>
      </c>
      <c r="H641" s="2" t="s">
        <v>21</v>
      </c>
      <c r="I641" s="2" t="s">
        <v>1706</v>
      </c>
      <c r="J641" s="3" t="str">
        <f>HYPERLINK("https://www.boe.es/gazeta/dias/1817/03/22/pdfs/GMD-1817-35.pdf#page=7","Abrir facsímil")</f>
        <v>Abrir facsímil</v>
      </c>
      <c r="K641" s="3" t="s">
        <v>23</v>
      </c>
    </row>
    <row r="642" spans="1:11" ht="42" customHeight="1">
      <c r="A642" s="2" t="s">
        <v>1707</v>
      </c>
      <c r="B642" s="2" t="s">
        <v>1708</v>
      </c>
      <c r="C642" s="2" t="s">
        <v>36</v>
      </c>
      <c r="D642" s="2" t="s">
        <v>37</v>
      </c>
      <c r="E642" s="5">
        <v>-30212</v>
      </c>
      <c r="F642" s="3" t="s">
        <v>745</v>
      </c>
      <c r="G642" s="3" t="s">
        <v>20</v>
      </c>
      <c r="H642" s="2" t="s">
        <v>21</v>
      </c>
      <c r="I642" s="2" t="s">
        <v>1709</v>
      </c>
      <c r="J642" s="3" t="str">
        <f>HYPERLINK("https://www.boe.es/gazeta/dias/1817/04/12/pdfs/GMD-1817-44.pdf#page=7","Abrir facsímil")</f>
        <v>Abrir facsímil</v>
      </c>
      <c r="K642" s="3" t="s">
        <v>23</v>
      </c>
    </row>
    <row r="643" spans="1:11" ht="42" customHeight="1">
      <c r="A643" s="2" t="s">
        <v>1710</v>
      </c>
      <c r="B643" s="2" t="s">
        <v>1711</v>
      </c>
      <c r="C643" s="2" t="s">
        <v>43</v>
      </c>
      <c r="D643" s="2" t="s">
        <v>44</v>
      </c>
      <c r="E643" s="5">
        <v>-30062</v>
      </c>
      <c r="F643" s="3" t="s">
        <v>444</v>
      </c>
      <c r="G643" s="3" t="s">
        <v>112</v>
      </c>
      <c r="H643" s="2" t="s">
        <v>21</v>
      </c>
      <c r="I643" s="2" t="s">
        <v>1712</v>
      </c>
      <c r="J643" s="3" t="str">
        <f>HYPERLINK("https://www.boe.es/gazeta/dias/1817/09/09/pdfs/GMD-1817-108.pdf#page=11","Abrir facsímil")</f>
        <v>Abrir facsímil</v>
      </c>
      <c r="K643" s="3" t="s">
        <v>23</v>
      </c>
    </row>
    <row r="644" spans="1:11" ht="42" customHeight="1">
      <c r="A644" s="2" t="s">
        <v>1713</v>
      </c>
      <c r="B644" s="2" t="s">
        <v>1714</v>
      </c>
      <c r="C644" s="2" t="s">
        <v>138</v>
      </c>
      <c r="D644" s="2" t="s">
        <v>44</v>
      </c>
      <c r="E644" s="5">
        <v>-30125</v>
      </c>
      <c r="F644" s="3" t="s">
        <v>102</v>
      </c>
      <c r="G644" s="3" t="s">
        <v>72</v>
      </c>
      <c r="H644" s="2" t="s">
        <v>21</v>
      </c>
      <c r="I644" s="2" t="s">
        <v>1715</v>
      </c>
      <c r="J644" s="3" t="str">
        <f>HYPERLINK("https://www.boe.es/gazeta/dias/1817/07/08/pdfs/GMD-1817-81.pdf#page=1","Abrir facsímil")</f>
        <v>Abrir facsímil</v>
      </c>
      <c r="K644" s="3" t="s">
        <v>23</v>
      </c>
    </row>
    <row r="645" spans="1:11" ht="42" customHeight="1">
      <c r="A645" s="2" t="s">
        <v>1716</v>
      </c>
      <c r="B645" s="2" t="s">
        <v>1717</v>
      </c>
      <c r="C645" s="2" t="s">
        <v>55</v>
      </c>
      <c r="D645" s="2" t="s">
        <v>44</v>
      </c>
      <c r="E645" s="5">
        <v>-29974</v>
      </c>
      <c r="F645" s="3" t="s">
        <v>32</v>
      </c>
      <c r="G645" s="3" t="s">
        <v>77</v>
      </c>
      <c r="H645" s="2" t="s">
        <v>21</v>
      </c>
      <c r="I645" s="2" t="s">
        <v>1718</v>
      </c>
      <c r="J645" s="3" t="str">
        <f>HYPERLINK("https://www.boe.es/gazeta/dias/1817/12/06/pdfs/GMD-1817-146.pdf#page=8","Abrir facsímil")</f>
        <v>Abrir facsímil</v>
      </c>
      <c r="K645" s="3" t="s">
        <v>23</v>
      </c>
    </row>
    <row r="646" spans="1:11" ht="42" customHeight="1">
      <c r="A646" s="2" t="s">
        <v>1719</v>
      </c>
      <c r="B646" s="2" t="s">
        <v>1720</v>
      </c>
      <c r="C646" s="2" t="s">
        <v>36</v>
      </c>
      <c r="D646" s="2" t="s">
        <v>37</v>
      </c>
      <c r="E646" s="5">
        <v>-30223</v>
      </c>
      <c r="F646" s="3" t="s">
        <v>627</v>
      </c>
      <c r="G646" s="3" t="s">
        <v>1721</v>
      </c>
      <c r="H646" s="2" t="s">
        <v>27</v>
      </c>
      <c r="I646" s="2" t="s">
        <v>1722</v>
      </c>
      <c r="J646" s="3" t="str">
        <f>HYPERLINK("https://www.boe.es/gazeta/dias/1817/04/01/pdfs/GMD-1817-39.pdf#page=7","Abrir facsímil")</f>
        <v>Abrir facsímil</v>
      </c>
      <c r="K646" s="3" t="s">
        <v>29</v>
      </c>
    </row>
    <row r="647" spans="1:11" ht="42" customHeight="1">
      <c r="A647" s="2" t="s">
        <v>1723</v>
      </c>
      <c r="B647" s="2" t="s">
        <v>1723</v>
      </c>
      <c r="C647" s="2" t="s">
        <v>43</v>
      </c>
      <c r="D647" s="2" t="s">
        <v>44</v>
      </c>
      <c r="E647" s="5">
        <v>-30202</v>
      </c>
      <c r="F647" s="3" t="s">
        <v>418</v>
      </c>
      <c r="G647" s="3" t="s">
        <v>20</v>
      </c>
      <c r="H647" s="2" t="s">
        <v>21</v>
      </c>
      <c r="I647" s="2" t="s">
        <v>1724</v>
      </c>
      <c r="J647" s="3" t="str">
        <f>HYPERLINK("https://www.boe.es/gazeta/dias/1817/04/22/pdfs/GMD-1817-48.pdf#page=7","Abrir facsímil")</f>
        <v>Abrir facsímil</v>
      </c>
      <c r="K647" s="3" t="s">
        <v>23</v>
      </c>
    </row>
    <row r="648" spans="1:11" ht="42" customHeight="1">
      <c r="A648" s="2" t="s">
        <v>1725</v>
      </c>
      <c r="B648" s="2" t="s">
        <v>1726</v>
      </c>
      <c r="C648" s="2" t="s">
        <v>55</v>
      </c>
      <c r="D648" s="2" t="s">
        <v>44</v>
      </c>
      <c r="E648" s="5">
        <v>-30034</v>
      </c>
      <c r="F648" s="3" t="s">
        <v>270</v>
      </c>
      <c r="G648" s="3" t="s">
        <v>1727</v>
      </c>
      <c r="H648" s="2" t="s">
        <v>21</v>
      </c>
      <c r="I648" s="2" t="s">
        <v>1728</v>
      </c>
      <c r="J648" s="3" t="str">
        <f>HYPERLINK("https://www.boe.es/gazeta/dias/1817/10/07/pdfs/GMD-1817-120.pdf#page=2","Abrir facsímil")</f>
        <v>Abrir facsímil</v>
      </c>
      <c r="K648" s="3" t="s">
        <v>23</v>
      </c>
    </row>
    <row r="649" spans="1:11" ht="42" customHeight="1">
      <c r="A649" s="2" t="s">
        <v>1729</v>
      </c>
      <c r="B649" s="2" t="s">
        <v>1729</v>
      </c>
      <c r="C649" s="2" t="s">
        <v>36</v>
      </c>
      <c r="D649" s="2" t="s">
        <v>37</v>
      </c>
      <c r="E649" s="5">
        <v>-30256</v>
      </c>
      <c r="F649" s="3" t="s">
        <v>302</v>
      </c>
      <c r="G649" s="3" t="s">
        <v>629</v>
      </c>
      <c r="H649" s="2" t="s">
        <v>21</v>
      </c>
      <c r="I649" s="2" t="s">
        <v>1730</v>
      </c>
      <c r="J649" s="3" t="str">
        <f>HYPERLINK("https://www.boe.es/gazeta/dias/1817/02/27/pdfs/GMD-1817-25.pdf#page=2","Abrir facsímil")</f>
        <v>Abrir facsímil</v>
      </c>
      <c r="K649" s="3" t="s">
        <v>23</v>
      </c>
    </row>
    <row r="650" spans="1:11" ht="42" customHeight="1">
      <c r="A650" s="2" t="s">
        <v>1731</v>
      </c>
      <c r="B650" s="2" t="s">
        <v>1732</v>
      </c>
      <c r="C650" s="2" t="s">
        <v>36</v>
      </c>
      <c r="D650" s="2" t="s">
        <v>37</v>
      </c>
      <c r="E650" s="5">
        <v>-30256</v>
      </c>
      <c r="F650" s="3" t="s">
        <v>302</v>
      </c>
      <c r="G650" s="3" t="s">
        <v>629</v>
      </c>
      <c r="H650" s="2" t="s">
        <v>21</v>
      </c>
      <c r="I650" s="2" t="s">
        <v>1733</v>
      </c>
      <c r="J650" s="3" t="str">
        <f>HYPERLINK("https://www.boe.es/gazeta/dias/1817/02/27/pdfs/GMD-1817-25.pdf#page=2","Abrir facsímil")</f>
        <v>Abrir facsímil</v>
      </c>
      <c r="K650" s="3" t="s">
        <v>23</v>
      </c>
    </row>
    <row r="651" spans="1:11" ht="42" customHeight="1">
      <c r="A651" s="2" t="s">
        <v>1734</v>
      </c>
      <c r="B651" s="2" t="s">
        <v>1735</v>
      </c>
      <c r="C651" s="2" t="s">
        <v>36</v>
      </c>
      <c r="D651" s="2" t="s">
        <v>37</v>
      </c>
      <c r="E651" s="5">
        <v>-30011</v>
      </c>
      <c r="F651" s="3" t="s">
        <v>313</v>
      </c>
      <c r="G651" s="3" t="s">
        <v>1736</v>
      </c>
      <c r="H651" s="2" t="s">
        <v>21</v>
      </c>
      <c r="I651" s="2" t="s">
        <v>1737</v>
      </c>
      <c r="J651" s="3" t="str">
        <f>HYPERLINK("https://www.boe.es/gazeta/dias/1817/10/30/pdfs/GMD-1817-130.pdf#page=11","Abrir facsímil")</f>
        <v>Abrir facsímil</v>
      </c>
      <c r="K651" s="3" t="s">
        <v>23</v>
      </c>
    </row>
    <row r="652" spans="1:11" ht="42" customHeight="1">
      <c r="A652" s="2" t="s">
        <v>1738</v>
      </c>
      <c r="B652" s="2" t="s">
        <v>1739</v>
      </c>
      <c r="C652" s="2" t="s">
        <v>36</v>
      </c>
      <c r="D652" s="2" t="s">
        <v>37</v>
      </c>
      <c r="E652" s="5">
        <v>-30200</v>
      </c>
      <c r="F652" s="3" t="s">
        <v>725</v>
      </c>
      <c r="G652" s="3" t="s">
        <v>57</v>
      </c>
      <c r="H652" s="2" t="s">
        <v>27</v>
      </c>
      <c r="I652" s="2" t="s">
        <v>1740</v>
      </c>
      <c r="J652" s="3" t="str">
        <f>HYPERLINK("https://www.boe.es/gazeta/dias/1817/04/24/pdfs/GMD-1817-49.pdf#page=6","Abrir facsímil")</f>
        <v>Abrir facsímil</v>
      </c>
      <c r="K652" s="3" t="s">
        <v>29</v>
      </c>
    </row>
    <row r="653" spans="1:11" ht="42" customHeight="1">
      <c r="A653" s="2" t="s">
        <v>1741</v>
      </c>
      <c r="B653" s="2" t="s">
        <v>1741</v>
      </c>
      <c r="C653" s="2" t="s">
        <v>510</v>
      </c>
      <c r="D653" s="2" t="s">
        <v>44</v>
      </c>
      <c r="E653" s="5">
        <v>-30163</v>
      </c>
      <c r="F653" s="3" t="s">
        <v>166</v>
      </c>
      <c r="G653" s="3" t="s">
        <v>57</v>
      </c>
      <c r="H653" s="2" t="s">
        <v>21</v>
      </c>
      <c r="I653" s="2" t="s">
        <v>1742</v>
      </c>
      <c r="J653" s="3" t="str">
        <f>HYPERLINK("https://www.boe.es/gazeta/dias/1817/05/31/pdfs/GMD-1817-65.pdf#page=6","Abrir facsímil")</f>
        <v>Abrir facsímil</v>
      </c>
      <c r="K653" s="3" t="s">
        <v>23</v>
      </c>
    </row>
    <row r="654" spans="1:11" ht="42" customHeight="1">
      <c r="A654" s="2" t="s">
        <v>1743</v>
      </c>
      <c r="B654" s="2" t="s">
        <v>1744</v>
      </c>
      <c r="C654" s="2" t="s">
        <v>36</v>
      </c>
      <c r="D654" s="2" t="s">
        <v>37</v>
      </c>
      <c r="E654" s="5">
        <v>-30065</v>
      </c>
      <c r="F654" s="3" t="s">
        <v>201</v>
      </c>
      <c r="G654" s="3" t="s">
        <v>144</v>
      </c>
      <c r="H654" s="2" t="s">
        <v>21</v>
      </c>
      <c r="I654" s="2" t="s">
        <v>1745</v>
      </c>
      <c r="J654" s="3" t="str">
        <f>HYPERLINK("https://www.boe.es/gazeta/dias/1817/09/06/pdfs/GMD-1817-107.pdf#page=4","Abrir facsímil")</f>
        <v>Abrir facsímil</v>
      </c>
      <c r="K654" s="3" t="s">
        <v>23</v>
      </c>
    </row>
    <row r="655" spans="1:11" ht="42" customHeight="1">
      <c r="A655" s="2" t="s">
        <v>1746</v>
      </c>
      <c r="B655" s="2" t="s">
        <v>1746</v>
      </c>
      <c r="C655" s="2" t="s">
        <v>36</v>
      </c>
      <c r="D655" s="2" t="s">
        <v>37</v>
      </c>
      <c r="E655" s="5">
        <v>-30223</v>
      </c>
      <c r="F655" s="3" t="s">
        <v>627</v>
      </c>
      <c r="G655" s="3" t="s">
        <v>551</v>
      </c>
      <c r="H655" s="2" t="s">
        <v>21</v>
      </c>
      <c r="I655" s="2" t="s">
        <v>1747</v>
      </c>
      <c r="J655" s="3" t="str">
        <f>HYPERLINK("https://www.boe.es/gazeta/dias/1817/04/01/pdfs/GMD-1817-39.pdf#page=3","Abrir facsímil")</f>
        <v>Abrir facsímil</v>
      </c>
      <c r="K655" s="3" t="s">
        <v>23</v>
      </c>
    </row>
    <row r="656" spans="1:11" ht="42" customHeight="1">
      <c r="A656" s="2" t="s">
        <v>1748</v>
      </c>
      <c r="B656" s="2" t="s">
        <v>1749</v>
      </c>
      <c r="C656" s="2" t="s">
        <v>55</v>
      </c>
      <c r="D656" s="2" t="s">
        <v>44</v>
      </c>
      <c r="E656" s="5">
        <v>-30286</v>
      </c>
      <c r="F656" s="3" t="s">
        <v>354</v>
      </c>
      <c r="G656" s="3" t="s">
        <v>77</v>
      </c>
      <c r="H656" s="2" t="s">
        <v>21</v>
      </c>
      <c r="I656" s="2" t="s">
        <v>1750</v>
      </c>
      <c r="J656" s="3" t="str">
        <f>HYPERLINK("https://www.boe.es/gazeta/dias/1817/01/28/pdfs/GMD-1817-12.pdf#page=8","Abrir facsímil")</f>
        <v>Abrir facsímil</v>
      </c>
      <c r="K656" s="3" t="s">
        <v>23</v>
      </c>
    </row>
    <row r="657" spans="1:11" ht="42" customHeight="1">
      <c r="A657" s="2" t="s">
        <v>1751</v>
      </c>
      <c r="B657" s="2" t="s">
        <v>1752</v>
      </c>
      <c r="C657" s="2" t="s">
        <v>510</v>
      </c>
      <c r="D657" s="2" t="s">
        <v>44</v>
      </c>
      <c r="E657" s="5">
        <v>-30039</v>
      </c>
      <c r="F657" s="3" t="s">
        <v>558</v>
      </c>
      <c r="G657" s="3" t="s">
        <v>77</v>
      </c>
      <c r="H657" s="2" t="s">
        <v>21</v>
      </c>
      <c r="I657" s="2" t="s">
        <v>1753</v>
      </c>
      <c r="J657" s="3" t="str">
        <f>HYPERLINK("https://www.boe.es/gazeta/dias/1817/10/02/pdfs/GMD-1817-118.pdf#page=8","Abrir facsímil")</f>
        <v>Abrir facsímil</v>
      </c>
      <c r="K657" s="3" t="s">
        <v>23</v>
      </c>
    </row>
    <row r="658" spans="1:11" ht="42" customHeight="1">
      <c r="A658" s="2" t="s">
        <v>1754</v>
      </c>
      <c r="B658" s="2" t="s">
        <v>1755</v>
      </c>
      <c r="C658" s="2" t="s">
        <v>43</v>
      </c>
      <c r="D658" s="2" t="s">
        <v>44</v>
      </c>
      <c r="E658" s="5">
        <v>-30072</v>
      </c>
      <c r="F658" s="3" t="s">
        <v>442</v>
      </c>
      <c r="G658" s="3" t="s">
        <v>20</v>
      </c>
      <c r="H658" s="2" t="s">
        <v>21</v>
      </c>
      <c r="I658" s="2" t="s">
        <v>1756</v>
      </c>
      <c r="J658" s="3" t="str">
        <f>HYPERLINK("https://www.boe.es/gazeta/dias/1817/08/30/pdfs/GMD-1817-104.pdf#page=7","Abrir facsímil")</f>
        <v>Abrir facsímil</v>
      </c>
      <c r="K658" s="3" t="s">
        <v>23</v>
      </c>
    </row>
    <row r="659" spans="1:11" ht="42" customHeight="1">
      <c r="A659" s="2" t="s">
        <v>1757</v>
      </c>
      <c r="B659" s="2" t="s">
        <v>1758</v>
      </c>
      <c r="C659" s="2" t="s">
        <v>43</v>
      </c>
      <c r="D659" s="2" t="s">
        <v>44</v>
      </c>
      <c r="E659" s="5">
        <v>-30279</v>
      </c>
      <c r="F659" s="3" t="s">
        <v>1113</v>
      </c>
      <c r="G659" s="3" t="s">
        <v>144</v>
      </c>
      <c r="H659" s="2" t="s">
        <v>21</v>
      </c>
      <c r="I659" s="2" t="s">
        <v>1759</v>
      </c>
      <c r="J659" s="3" t="str">
        <f>HYPERLINK("https://www.boe.es/gazeta/dias/1817/02/04/pdfs/GMD-1817-15.pdf#page=4","Abrir facsímil")</f>
        <v>Abrir facsímil</v>
      </c>
      <c r="K659" s="3" t="s">
        <v>23</v>
      </c>
    </row>
    <row r="660" spans="1:11" ht="42" customHeight="1">
      <c r="A660" s="2" t="s">
        <v>1760</v>
      </c>
      <c r="B660" s="2" t="s">
        <v>1761</v>
      </c>
      <c r="C660" s="2" t="s">
        <v>43</v>
      </c>
      <c r="D660" s="2" t="s">
        <v>44</v>
      </c>
      <c r="E660" s="5">
        <v>-29964</v>
      </c>
      <c r="F660" s="3" t="s">
        <v>482</v>
      </c>
      <c r="G660" s="3" t="s">
        <v>1453</v>
      </c>
      <c r="H660" s="2" t="s">
        <v>21</v>
      </c>
      <c r="I660" s="2" t="s">
        <v>1762</v>
      </c>
      <c r="J660" s="3" t="str">
        <f>HYPERLINK("https://www.boe.es/gazeta/dias/1817/12/16/pdfs/GMD-1817-150.pdf#page=2","Abrir facsímil")</f>
        <v>Abrir facsímil</v>
      </c>
      <c r="K660" s="3" t="s">
        <v>23</v>
      </c>
    </row>
    <row r="661" spans="1:11" ht="42" customHeight="1">
      <c r="A661" s="2" t="s">
        <v>1763</v>
      </c>
      <c r="B661" s="2" t="s">
        <v>1763</v>
      </c>
      <c r="C661" s="2" t="s">
        <v>36</v>
      </c>
      <c r="D661" s="2" t="s">
        <v>37</v>
      </c>
      <c r="E661" s="5">
        <v>-30116</v>
      </c>
      <c r="F661" s="3" t="s">
        <v>319</v>
      </c>
      <c r="G661" s="3" t="s">
        <v>39</v>
      </c>
      <c r="H661" s="2" t="s">
        <v>21</v>
      </c>
      <c r="I661" s="2" t="s">
        <v>1764</v>
      </c>
      <c r="J661" s="3" t="str">
        <f>HYPERLINK("https://www.boe.es/gazeta/dias/1817/07/17/pdfs/GMD-1817-85.pdf#page=5","Abrir facsímil")</f>
        <v>Abrir facsímil</v>
      </c>
      <c r="K661" s="3" t="s">
        <v>23</v>
      </c>
    </row>
    <row r="662" spans="1:11" ht="42" customHeight="1">
      <c r="A662" s="2" t="s">
        <v>1765</v>
      </c>
      <c r="B662" s="2" t="s">
        <v>1766</v>
      </c>
      <c r="C662" s="2" t="s">
        <v>17</v>
      </c>
      <c r="D662" s="2" t="s">
        <v>18</v>
      </c>
      <c r="E662" s="5">
        <v>-30072</v>
      </c>
      <c r="F662" s="3" t="s">
        <v>442</v>
      </c>
      <c r="G662" s="3" t="s">
        <v>1767</v>
      </c>
      <c r="H662" s="2" t="s">
        <v>21</v>
      </c>
      <c r="I662" s="2" t="s">
        <v>1768</v>
      </c>
      <c r="J662" s="3" t="str">
        <f>HYPERLINK("https://www.boe.es/gazeta/dias/1817/08/30/pdfs/GMD-1817-104.pdf#page=8","Abrir facsímil")</f>
        <v>Abrir facsímil</v>
      </c>
      <c r="K662" s="3" t="s">
        <v>23</v>
      </c>
    </row>
    <row r="663" spans="1:11" ht="42" customHeight="1">
      <c r="A663" s="2" t="s">
        <v>1769</v>
      </c>
      <c r="B663" s="2" t="s">
        <v>1770</v>
      </c>
      <c r="C663" s="2" t="s">
        <v>36</v>
      </c>
      <c r="D663" s="2" t="s">
        <v>37</v>
      </c>
      <c r="E663" s="5">
        <v>-29976</v>
      </c>
      <c r="F663" s="3" t="s">
        <v>81</v>
      </c>
      <c r="G663" s="3" t="s">
        <v>883</v>
      </c>
      <c r="H663" s="2" t="s">
        <v>21</v>
      </c>
      <c r="I663" s="2" t="s">
        <v>1771</v>
      </c>
      <c r="J663" s="3" t="str">
        <f>HYPERLINK("https://www.boe.es/gazeta/dias/1817/12/04/pdfs/GMD-1817-145.pdf#page=4","Abrir facsímil")</f>
        <v>Abrir facsímil</v>
      </c>
      <c r="K663" s="3" t="s">
        <v>23</v>
      </c>
    </row>
    <row r="664" spans="1:11" ht="42" customHeight="1">
      <c r="A664" s="2" t="s">
        <v>1772</v>
      </c>
      <c r="B664" s="2" t="s">
        <v>1773</v>
      </c>
      <c r="C664" s="2" t="s">
        <v>36</v>
      </c>
      <c r="D664" s="2" t="s">
        <v>37</v>
      </c>
      <c r="E664" s="5">
        <v>-29976</v>
      </c>
      <c r="F664" s="3" t="s">
        <v>81</v>
      </c>
      <c r="G664" s="3" t="s">
        <v>883</v>
      </c>
      <c r="H664" s="2" t="s">
        <v>21</v>
      </c>
      <c r="I664" s="2" t="s">
        <v>1774</v>
      </c>
      <c r="J664" s="3" t="str">
        <f>HYPERLINK("https://www.boe.es/gazeta/dias/1817/12/04/pdfs/GMD-1817-145.pdf#page=4","Abrir facsímil")</f>
        <v>Abrir facsímil</v>
      </c>
      <c r="K664" s="3" t="s">
        <v>23</v>
      </c>
    </row>
    <row r="665" spans="1:11" ht="42" customHeight="1">
      <c r="A665" s="2" t="s">
        <v>1775</v>
      </c>
      <c r="B665" s="2" t="s">
        <v>1776</v>
      </c>
      <c r="C665" s="2" t="s">
        <v>43</v>
      </c>
      <c r="D665" s="2" t="s">
        <v>44</v>
      </c>
      <c r="E665" s="5">
        <v>-30312</v>
      </c>
      <c r="F665" s="3" t="s">
        <v>86</v>
      </c>
      <c r="G665" s="3" t="s">
        <v>39</v>
      </c>
      <c r="H665" s="2" t="s">
        <v>21</v>
      </c>
      <c r="I665" s="2" t="s">
        <v>1777</v>
      </c>
      <c r="J665" s="3" t="str">
        <f>HYPERLINK("https://www.boe.es/gazeta/dias/1817/01/02/pdfs/GMD-1817-1.pdf#page=5","Abrir facsímil")</f>
        <v>Abrir facsímil</v>
      </c>
      <c r="K665" s="3" t="s">
        <v>23</v>
      </c>
    </row>
    <row r="666" spans="1:11" ht="42" customHeight="1">
      <c r="A666" s="2" t="s">
        <v>1778</v>
      </c>
      <c r="B666" s="2" t="s">
        <v>1779</v>
      </c>
      <c r="C666" s="2" t="s">
        <v>43</v>
      </c>
      <c r="D666" s="2" t="s">
        <v>44</v>
      </c>
      <c r="E666" s="5">
        <v>-30235</v>
      </c>
      <c r="F666" s="3" t="s">
        <v>398</v>
      </c>
      <c r="G666" s="3" t="s">
        <v>39</v>
      </c>
      <c r="H666" s="2" t="s">
        <v>21</v>
      </c>
      <c r="I666" s="2" t="s">
        <v>1780</v>
      </c>
      <c r="J666" s="3" t="str">
        <f>HYPERLINK("https://www.boe.es/gazeta/dias/1817/03/20/pdfs/GMD-1817-34.pdf#page=5","Abrir facsímil")</f>
        <v>Abrir facsímil</v>
      </c>
      <c r="K666" s="3" t="s">
        <v>23</v>
      </c>
    </row>
    <row r="667" spans="1:11" ht="42" customHeight="1">
      <c r="A667" s="2" t="s">
        <v>1778</v>
      </c>
      <c r="B667" s="2" t="s">
        <v>1779</v>
      </c>
      <c r="C667" s="2" t="s">
        <v>43</v>
      </c>
      <c r="D667" s="2" t="s">
        <v>44</v>
      </c>
      <c r="E667" s="5">
        <v>-29992</v>
      </c>
      <c r="F667" s="3" t="s">
        <v>50</v>
      </c>
      <c r="G667" s="3" t="s">
        <v>1781</v>
      </c>
      <c r="H667" s="2" t="s">
        <v>21</v>
      </c>
      <c r="I667" s="2" t="s">
        <v>1782</v>
      </c>
      <c r="J667" s="3" t="str">
        <f>HYPERLINK("https://www.boe.es/gazeta/dias/1817/11/18/pdfs/GMD-1817-138.pdf#page=6","Abrir facsímil")</f>
        <v>Abrir facsímil</v>
      </c>
      <c r="K667" s="3" t="s">
        <v>23</v>
      </c>
    </row>
    <row r="668" spans="1:11" ht="42" customHeight="1">
      <c r="A668" s="2" t="s">
        <v>1783</v>
      </c>
      <c r="B668" s="2" t="s">
        <v>1784</v>
      </c>
      <c r="C668" s="2" t="s">
        <v>36</v>
      </c>
      <c r="D668" s="2" t="s">
        <v>37</v>
      </c>
      <c r="E668" s="5">
        <v>-30307</v>
      </c>
      <c r="F668" s="3" t="s">
        <v>67</v>
      </c>
      <c r="G668" s="3" t="s">
        <v>1785</v>
      </c>
      <c r="H668" s="2" t="s">
        <v>21</v>
      </c>
      <c r="I668" s="2" t="s">
        <v>1786</v>
      </c>
      <c r="J668" s="3" t="str">
        <f>HYPERLINK("https://www.boe.es/gazeta/dias/1817/01/07/pdfs/GMD-1817-3.pdf#page=4","Abrir facsímil")</f>
        <v>Abrir facsímil</v>
      </c>
      <c r="K668" s="3" t="s">
        <v>23</v>
      </c>
    </row>
    <row r="669" spans="1:11" ht="42" customHeight="1">
      <c r="A669" s="2" t="s">
        <v>1783</v>
      </c>
      <c r="B669" s="2" t="s">
        <v>1784</v>
      </c>
      <c r="C669" s="2" t="s">
        <v>36</v>
      </c>
      <c r="D669" s="2" t="s">
        <v>37</v>
      </c>
      <c r="E669" s="5">
        <v>-30298</v>
      </c>
      <c r="F669" s="3" t="s">
        <v>489</v>
      </c>
      <c r="G669" s="3" t="s">
        <v>20</v>
      </c>
      <c r="H669" s="2" t="s">
        <v>21</v>
      </c>
      <c r="I669" s="2" t="s">
        <v>1787</v>
      </c>
      <c r="J669" s="3" t="str">
        <f>HYPERLINK("https://www.boe.es/gazeta/dias/1817/01/16/pdfs/GMD-1817-7.pdf#page=7","Abrir facsímil")</f>
        <v>Abrir facsímil</v>
      </c>
      <c r="K669" s="3" t="s">
        <v>23</v>
      </c>
    </row>
    <row r="670" spans="1:11" ht="42" customHeight="1">
      <c r="A670" s="2" t="s">
        <v>1783</v>
      </c>
      <c r="B670" s="2" t="s">
        <v>1784</v>
      </c>
      <c r="C670" s="2" t="s">
        <v>43</v>
      </c>
      <c r="D670" s="2" t="s">
        <v>44</v>
      </c>
      <c r="E670" s="5">
        <v>-30268</v>
      </c>
      <c r="F670" s="3" t="s">
        <v>1160</v>
      </c>
      <c r="G670" s="3" t="s">
        <v>57</v>
      </c>
      <c r="H670" s="2" t="s">
        <v>21</v>
      </c>
      <c r="I670" s="2" t="s">
        <v>1788</v>
      </c>
      <c r="J670" s="3" t="str">
        <f>HYPERLINK("https://www.boe.es/gazeta/dias/1817/02/15/pdfs/GMD-1817-20.pdf#page=6","Abrir facsímil")</f>
        <v>Abrir facsímil</v>
      </c>
      <c r="K670" s="3" t="s">
        <v>23</v>
      </c>
    </row>
    <row r="671" spans="1:11" ht="42" customHeight="1">
      <c r="A671" s="2" t="s">
        <v>1789</v>
      </c>
      <c r="B671" s="2" t="s">
        <v>1790</v>
      </c>
      <c r="C671" s="2" t="s">
        <v>43</v>
      </c>
      <c r="D671" s="2" t="s">
        <v>44</v>
      </c>
      <c r="E671" s="5">
        <v>-30310</v>
      </c>
      <c r="F671" s="3" t="s">
        <v>93</v>
      </c>
      <c r="G671" s="3" t="s">
        <v>20</v>
      </c>
      <c r="H671" s="2" t="s">
        <v>21</v>
      </c>
      <c r="I671" s="2" t="s">
        <v>1791</v>
      </c>
      <c r="J671" s="3" t="str">
        <f>HYPERLINK("https://www.boe.es/gazeta/dias/1817/01/04/pdfs/GMD-1817-2.pdf#page=7","Abrir facsímil")</f>
        <v>Abrir facsímil</v>
      </c>
      <c r="K671" s="3" t="s">
        <v>23</v>
      </c>
    </row>
    <row r="672" spans="1:11" ht="42" customHeight="1">
      <c r="A672" s="2" t="s">
        <v>1789</v>
      </c>
      <c r="B672" s="2" t="s">
        <v>1790</v>
      </c>
      <c r="C672" s="2" t="s">
        <v>43</v>
      </c>
      <c r="D672" s="2" t="s">
        <v>44</v>
      </c>
      <c r="E672" s="5">
        <v>-30303</v>
      </c>
      <c r="F672" s="3" t="s">
        <v>407</v>
      </c>
      <c r="G672" s="3" t="s">
        <v>20</v>
      </c>
      <c r="H672" s="2" t="s">
        <v>21</v>
      </c>
      <c r="I672" s="2" t="s">
        <v>1792</v>
      </c>
      <c r="J672" s="3" t="str">
        <f>HYPERLINK("https://www.boe.es/gazeta/dias/1817/01/11/pdfs/GMD-1817-5.pdf#page=7","Abrir facsímil")</f>
        <v>Abrir facsímil</v>
      </c>
      <c r="K672" s="3" t="s">
        <v>23</v>
      </c>
    </row>
    <row r="673" spans="1:11" ht="42" customHeight="1">
      <c r="A673" s="2" t="s">
        <v>1789</v>
      </c>
      <c r="B673" s="2" t="s">
        <v>1790</v>
      </c>
      <c r="C673" s="2" t="s">
        <v>43</v>
      </c>
      <c r="D673" s="2" t="s">
        <v>44</v>
      </c>
      <c r="E673" s="5">
        <v>-30270</v>
      </c>
      <c r="F673" s="3" t="s">
        <v>341</v>
      </c>
      <c r="G673" s="3" t="s">
        <v>57</v>
      </c>
      <c r="H673" s="2" t="s">
        <v>21</v>
      </c>
      <c r="I673" s="2" t="s">
        <v>1793</v>
      </c>
      <c r="J673" s="3" t="str">
        <f>HYPERLINK("https://www.boe.es/gazeta/dias/1817/02/13/pdfs/GMD-1817-19.pdf#page=6","Abrir facsímil")</f>
        <v>Abrir facsímil</v>
      </c>
      <c r="K673" s="3" t="s">
        <v>23</v>
      </c>
    </row>
    <row r="674" spans="1:11" ht="42" customHeight="1">
      <c r="A674" s="2" t="s">
        <v>1789</v>
      </c>
      <c r="B674" s="2" t="s">
        <v>1790</v>
      </c>
      <c r="C674" s="2" t="s">
        <v>17</v>
      </c>
      <c r="D674" s="2" t="s">
        <v>18</v>
      </c>
      <c r="E674" s="5">
        <v>-30263</v>
      </c>
      <c r="F674" s="3" t="s">
        <v>1794</v>
      </c>
      <c r="G674" s="3" t="s">
        <v>20</v>
      </c>
      <c r="H674" s="2" t="s">
        <v>21</v>
      </c>
      <c r="I674" s="2" t="s">
        <v>1795</v>
      </c>
      <c r="J674" s="3" t="str">
        <f>HYPERLINK("https://www.boe.es/gazeta/dias/1817/02/20/pdfs/GMD-1817-22.pdf#page=7","Abrir facsímil")</f>
        <v>Abrir facsímil</v>
      </c>
      <c r="K674" s="3" t="s">
        <v>23</v>
      </c>
    </row>
    <row r="675" spans="1:11" ht="42" customHeight="1">
      <c r="A675" s="2" t="s">
        <v>1789</v>
      </c>
      <c r="B675" s="2" t="s">
        <v>1790</v>
      </c>
      <c r="C675" s="2" t="s">
        <v>43</v>
      </c>
      <c r="D675" s="2" t="s">
        <v>44</v>
      </c>
      <c r="E675" s="5">
        <v>-30247</v>
      </c>
      <c r="F675" s="3" t="s">
        <v>1796</v>
      </c>
      <c r="G675" s="3" t="s">
        <v>20</v>
      </c>
      <c r="H675" s="2" t="s">
        <v>21</v>
      </c>
      <c r="I675" s="2" t="s">
        <v>1797</v>
      </c>
      <c r="J675" s="3" t="str">
        <f>HYPERLINK("https://www.boe.es/gazeta/dias/1817/03/08/pdfs/GMD-1817-29.pdf#page=7","Abrir facsímil")</f>
        <v>Abrir facsímil</v>
      </c>
      <c r="K675" s="3" t="s">
        <v>23</v>
      </c>
    </row>
    <row r="676" spans="1:11" ht="42" customHeight="1">
      <c r="A676" s="2" t="s">
        <v>1789</v>
      </c>
      <c r="B676" s="2" t="s">
        <v>1790</v>
      </c>
      <c r="C676" s="2" t="s">
        <v>43</v>
      </c>
      <c r="D676" s="2" t="s">
        <v>44</v>
      </c>
      <c r="E676" s="5">
        <v>-30051</v>
      </c>
      <c r="F676" s="3" t="s">
        <v>26</v>
      </c>
      <c r="G676" s="3" t="s">
        <v>77</v>
      </c>
      <c r="H676" s="2" t="s">
        <v>21</v>
      </c>
      <c r="I676" s="2" t="s">
        <v>1798</v>
      </c>
      <c r="J676" s="3" t="str">
        <f>HYPERLINK("https://www.boe.es/gazeta/dias/1817/09/20/pdfs/GMD-1817-113.pdf#page=8","Abrir facsímil")</f>
        <v>Abrir facsímil</v>
      </c>
      <c r="K676" s="3" t="s">
        <v>23</v>
      </c>
    </row>
    <row r="677" spans="1:11" ht="42" customHeight="1">
      <c r="A677" s="2" t="s">
        <v>1799</v>
      </c>
      <c r="B677" s="2" t="s">
        <v>1800</v>
      </c>
      <c r="C677" s="2" t="s">
        <v>17</v>
      </c>
      <c r="D677" s="2" t="s">
        <v>18</v>
      </c>
      <c r="E677" s="5">
        <v>-30298</v>
      </c>
      <c r="F677" s="3" t="s">
        <v>489</v>
      </c>
      <c r="G677" s="3" t="s">
        <v>57</v>
      </c>
      <c r="H677" s="2" t="s">
        <v>21</v>
      </c>
      <c r="I677" s="2" t="s">
        <v>1801</v>
      </c>
      <c r="J677" s="3" t="str">
        <f>HYPERLINK("https://www.boe.es/gazeta/dias/1817/01/16/pdfs/GMD-1817-7.pdf#page=6","Abrir facsímil")</f>
        <v>Abrir facsímil</v>
      </c>
      <c r="K677" s="3" t="s">
        <v>23</v>
      </c>
    </row>
    <row r="678" spans="1:11" ht="42" customHeight="1">
      <c r="A678" s="2" t="s">
        <v>1799</v>
      </c>
      <c r="B678" s="2" t="s">
        <v>1800</v>
      </c>
      <c r="C678" s="2" t="s">
        <v>49</v>
      </c>
      <c r="D678" s="2" t="s">
        <v>44</v>
      </c>
      <c r="E678" s="5">
        <v>-30242</v>
      </c>
      <c r="F678" s="3" t="s">
        <v>62</v>
      </c>
      <c r="G678" s="3" t="s">
        <v>1802</v>
      </c>
      <c r="H678" s="2" t="s">
        <v>21</v>
      </c>
      <c r="I678" s="2" t="s">
        <v>1803</v>
      </c>
      <c r="J678" s="3" t="str">
        <f>HYPERLINK("https://www.boe.es/gazeta/dias/1817/03/13/pdfs/GMD-1817-31.pdf#page=5","Abrir facsímil")</f>
        <v>Abrir facsímil</v>
      </c>
      <c r="K678" s="3" t="s">
        <v>23</v>
      </c>
    </row>
    <row r="679" spans="1:11" ht="42" customHeight="1">
      <c r="A679" s="2" t="s">
        <v>1799</v>
      </c>
      <c r="B679" s="2" t="s">
        <v>1800</v>
      </c>
      <c r="C679" s="2" t="s">
        <v>43</v>
      </c>
      <c r="D679" s="2" t="s">
        <v>44</v>
      </c>
      <c r="E679" s="5">
        <v>-30233</v>
      </c>
      <c r="F679" s="3" t="s">
        <v>577</v>
      </c>
      <c r="G679" s="3" t="s">
        <v>20</v>
      </c>
      <c r="H679" s="2" t="s">
        <v>21</v>
      </c>
      <c r="I679" s="2" t="s">
        <v>1804</v>
      </c>
      <c r="J679" s="3" t="str">
        <f>HYPERLINK("https://www.boe.es/gazeta/dias/1817/03/22/pdfs/GMD-1817-35.pdf#page=7","Abrir facsímil")</f>
        <v>Abrir facsímil</v>
      </c>
      <c r="K679" s="3" t="s">
        <v>23</v>
      </c>
    </row>
    <row r="680" spans="1:11" ht="42" customHeight="1">
      <c r="A680" s="2" t="s">
        <v>1799</v>
      </c>
      <c r="B680" s="2" t="s">
        <v>1800</v>
      </c>
      <c r="C680" s="2" t="s">
        <v>17</v>
      </c>
      <c r="D680" s="2" t="s">
        <v>18</v>
      </c>
      <c r="E680" s="5">
        <v>-30226</v>
      </c>
      <c r="F680" s="3" t="s">
        <v>416</v>
      </c>
      <c r="G680" s="3" t="s">
        <v>20</v>
      </c>
      <c r="H680" s="2" t="s">
        <v>21</v>
      </c>
      <c r="I680" s="2" t="s">
        <v>1805</v>
      </c>
      <c r="J680" s="3" t="str">
        <f>HYPERLINK("https://www.boe.es/gazeta/dias/1817/03/29/pdfs/GMD-1817-38.pdf#page=7","Abrir facsímil")</f>
        <v>Abrir facsímil</v>
      </c>
      <c r="K680" s="3" t="s">
        <v>23</v>
      </c>
    </row>
    <row r="681" spans="1:11" ht="42" customHeight="1">
      <c r="A681" s="2" t="s">
        <v>1806</v>
      </c>
      <c r="B681" s="2" t="s">
        <v>1807</v>
      </c>
      <c r="C681" s="2" t="s">
        <v>43</v>
      </c>
      <c r="D681" s="2" t="s">
        <v>44</v>
      </c>
      <c r="E681" s="5">
        <v>-30307</v>
      </c>
      <c r="F681" s="3" t="s">
        <v>67</v>
      </c>
      <c r="G681" s="3" t="s">
        <v>739</v>
      </c>
      <c r="H681" s="2" t="s">
        <v>21</v>
      </c>
      <c r="I681" s="2" t="s">
        <v>1808</v>
      </c>
      <c r="J681" s="3" t="str">
        <f>HYPERLINK("https://www.boe.es/gazeta/dias/1817/01/07/pdfs/GMD-1817-3.pdf#page=6","Abrir facsímil")</f>
        <v>Abrir facsímil</v>
      </c>
      <c r="K681" s="3" t="s">
        <v>23</v>
      </c>
    </row>
    <row r="682" spans="1:11" ht="42" customHeight="1">
      <c r="A682" s="2" t="s">
        <v>1809</v>
      </c>
      <c r="B682" s="2" t="s">
        <v>1809</v>
      </c>
      <c r="C682" s="2" t="s">
        <v>17</v>
      </c>
      <c r="D682" s="2" t="s">
        <v>18</v>
      </c>
      <c r="E682" s="5">
        <v>-30062</v>
      </c>
      <c r="F682" s="3" t="s">
        <v>444</v>
      </c>
      <c r="G682" s="3" t="s">
        <v>551</v>
      </c>
      <c r="H682" s="2" t="s">
        <v>21</v>
      </c>
      <c r="I682" s="2" t="s">
        <v>1810</v>
      </c>
      <c r="J682" s="3" t="str">
        <f>HYPERLINK("https://www.boe.es/gazeta/dias/1817/09/09/pdfs/GMD-1817-108.pdf#page=3","Abrir facsímil")</f>
        <v>Abrir facsímil</v>
      </c>
      <c r="K682" s="3" t="s">
        <v>23</v>
      </c>
    </row>
    <row r="683" spans="1:11" ht="42" customHeight="1">
      <c r="A683" s="2" t="s">
        <v>1811</v>
      </c>
      <c r="B683" s="2" t="s">
        <v>1812</v>
      </c>
      <c r="C683" s="2" t="s">
        <v>36</v>
      </c>
      <c r="D683" s="2" t="s">
        <v>37</v>
      </c>
      <c r="E683" s="5">
        <v>-30090</v>
      </c>
      <c r="F683" s="3" t="s">
        <v>89</v>
      </c>
      <c r="G683" s="3" t="s">
        <v>20</v>
      </c>
      <c r="H683" s="2" t="s">
        <v>21</v>
      </c>
      <c r="I683" s="2" t="s">
        <v>1813</v>
      </c>
      <c r="J683" s="3" t="str">
        <f>HYPERLINK("https://www.boe.es/gazeta/dias/1817/08/12/pdfs/GMD-1817-96.pdf#page=7","Abrir facsímil")</f>
        <v>Abrir facsímil</v>
      </c>
      <c r="K683" s="3" t="s">
        <v>23</v>
      </c>
    </row>
    <row r="684" spans="1:11" ht="42" customHeight="1">
      <c r="A684" s="2" t="s">
        <v>1814</v>
      </c>
      <c r="B684" s="2" t="s">
        <v>1814</v>
      </c>
      <c r="C684" s="2" t="s">
        <v>36</v>
      </c>
      <c r="D684" s="2" t="s">
        <v>37</v>
      </c>
      <c r="E684" s="5">
        <v>-30090</v>
      </c>
      <c r="F684" s="3" t="s">
        <v>89</v>
      </c>
      <c r="G684" s="3" t="s">
        <v>551</v>
      </c>
      <c r="H684" s="2" t="s">
        <v>21</v>
      </c>
      <c r="I684" s="2" t="s">
        <v>1815</v>
      </c>
      <c r="J684" s="3" t="str">
        <f>HYPERLINK("https://www.boe.es/gazeta/dias/1817/08/12/pdfs/GMD-1817-96.pdf#page=3","Abrir facsímil")</f>
        <v>Abrir facsímil</v>
      </c>
      <c r="K684" s="3" t="s">
        <v>23</v>
      </c>
    </row>
    <row r="685" spans="1:11" ht="42" customHeight="1">
      <c r="A685" s="2" t="s">
        <v>1816</v>
      </c>
      <c r="B685" s="2" t="s">
        <v>1816</v>
      </c>
      <c r="C685" s="2" t="s">
        <v>43</v>
      </c>
      <c r="D685" s="2" t="s">
        <v>44</v>
      </c>
      <c r="E685" s="5">
        <v>-30163</v>
      </c>
      <c r="F685" s="3" t="s">
        <v>166</v>
      </c>
      <c r="G685" s="3" t="s">
        <v>39</v>
      </c>
      <c r="H685" s="2" t="s">
        <v>21</v>
      </c>
      <c r="I685" s="2" t="s">
        <v>1817</v>
      </c>
      <c r="J685" s="3" t="str">
        <f>HYPERLINK("https://www.boe.es/gazeta/dias/1817/05/31/pdfs/GMD-1817-65.pdf#page=5","Abrir facsímil")</f>
        <v>Abrir facsímil</v>
      </c>
      <c r="K685" s="3" t="s">
        <v>23</v>
      </c>
    </row>
    <row r="686" spans="1:11" ht="42" customHeight="1">
      <c r="A686" s="2" t="s">
        <v>1818</v>
      </c>
      <c r="B686" s="2" t="s">
        <v>1819</v>
      </c>
      <c r="C686" s="2" t="s">
        <v>36</v>
      </c>
      <c r="D686" s="2" t="s">
        <v>37</v>
      </c>
      <c r="E686" s="5">
        <v>-30009</v>
      </c>
      <c r="F686" s="3" t="s">
        <v>512</v>
      </c>
      <c r="G686" s="3" t="s">
        <v>144</v>
      </c>
      <c r="H686" s="2" t="s">
        <v>21</v>
      </c>
      <c r="I686" s="2" t="s">
        <v>1820</v>
      </c>
      <c r="J686" s="3" t="str">
        <f>HYPERLINK("https://www.boe.es/gazeta/dias/1817/11/01/pdfs/GMD-1817-131.pdf#page=4","Abrir facsímil")</f>
        <v>Abrir facsímil</v>
      </c>
      <c r="K686" s="3" t="s">
        <v>23</v>
      </c>
    </row>
    <row r="687" spans="1:11" ht="42" customHeight="1">
      <c r="A687" s="2" t="s">
        <v>1821</v>
      </c>
      <c r="B687" s="2" t="s">
        <v>1822</v>
      </c>
      <c r="C687" s="2" t="s">
        <v>55</v>
      </c>
      <c r="D687" s="2" t="s">
        <v>44</v>
      </c>
      <c r="E687" s="5">
        <v>-30254</v>
      </c>
      <c r="F687" s="3" t="s">
        <v>124</v>
      </c>
      <c r="G687" s="3" t="s">
        <v>125</v>
      </c>
      <c r="H687" s="2" t="s">
        <v>21</v>
      </c>
      <c r="I687" s="2" t="s">
        <v>1823</v>
      </c>
      <c r="J687" s="3" t="str">
        <f>HYPERLINK("https://www.boe.es/gazeta/dias/1817/03/01/pdfs/GMD-1817-26.pdf#page=5","Abrir facsímil")</f>
        <v>Abrir facsímil</v>
      </c>
      <c r="K687" s="3" t="s">
        <v>23</v>
      </c>
    </row>
    <row r="688" spans="1:11" ht="42" customHeight="1">
      <c r="A688" s="2" t="s">
        <v>1824</v>
      </c>
      <c r="B688" s="2" t="s">
        <v>1825</v>
      </c>
      <c r="C688" s="2" t="s">
        <v>43</v>
      </c>
      <c r="D688" s="2" t="s">
        <v>44</v>
      </c>
      <c r="E688" s="5">
        <v>-29981</v>
      </c>
      <c r="F688" s="3" t="s">
        <v>111</v>
      </c>
      <c r="G688" s="3" t="s">
        <v>112</v>
      </c>
      <c r="H688" s="2" t="s">
        <v>27</v>
      </c>
      <c r="I688" s="2" t="s">
        <v>1826</v>
      </c>
      <c r="J688" s="3" t="str">
        <f>HYPERLINK("https://www.boe.es/gazeta/dias/1817/11/29/pdfs/GMD-1817-143.pdf#page=11","Abrir facsímil")</f>
        <v>Abrir facsímil</v>
      </c>
      <c r="K688" s="3" t="s">
        <v>29</v>
      </c>
    </row>
    <row r="689" spans="1:11" ht="42" customHeight="1">
      <c r="A689" s="2" t="s">
        <v>1827</v>
      </c>
      <c r="B689" s="2" t="s">
        <v>1828</v>
      </c>
      <c r="C689" s="2" t="s">
        <v>17</v>
      </c>
      <c r="D689" s="2" t="s">
        <v>18</v>
      </c>
      <c r="E689" s="5">
        <v>-30004</v>
      </c>
      <c r="F689" s="3" t="s">
        <v>329</v>
      </c>
      <c r="G689" s="3" t="s">
        <v>77</v>
      </c>
      <c r="H689" s="2" t="s">
        <v>21</v>
      </c>
      <c r="I689" s="2" t="s">
        <v>1829</v>
      </c>
      <c r="J689" s="3" t="str">
        <f>HYPERLINK("https://www.boe.es/gazeta/dias/1817/11/06/pdfs/GMD-1817-133.pdf#page=8","Abrir facsímil")</f>
        <v>Abrir facsímil</v>
      </c>
      <c r="K689" s="3" t="s">
        <v>23</v>
      </c>
    </row>
    <row r="690" spans="1:11" ht="42" customHeight="1">
      <c r="A690" s="2" t="s">
        <v>1830</v>
      </c>
      <c r="B690" s="2" t="s">
        <v>1830</v>
      </c>
      <c r="C690" s="2" t="s">
        <v>36</v>
      </c>
      <c r="D690" s="2" t="s">
        <v>37</v>
      </c>
      <c r="E690" s="5">
        <v>-29978</v>
      </c>
      <c r="F690" s="3" t="s">
        <v>478</v>
      </c>
      <c r="G690" s="3" t="s">
        <v>77</v>
      </c>
      <c r="H690" s="2" t="s">
        <v>21</v>
      </c>
      <c r="I690" s="2" t="s">
        <v>1831</v>
      </c>
      <c r="J690" s="3" t="str">
        <f>HYPERLINK("https://www.boe.es/gazeta/dias/1817/12/02/pdfs/GMD-1817-144.pdf#page=8","Abrir facsímil")</f>
        <v>Abrir facsímil</v>
      </c>
      <c r="K690" s="3" t="s">
        <v>23</v>
      </c>
    </row>
    <row r="691" spans="1:11" ht="42" customHeight="1">
      <c r="A691" s="2" t="s">
        <v>1832</v>
      </c>
      <c r="B691" s="2" t="s">
        <v>1832</v>
      </c>
      <c r="C691" s="2" t="s">
        <v>17</v>
      </c>
      <c r="D691" s="2" t="s">
        <v>18</v>
      </c>
      <c r="E691" s="5">
        <v>-30172</v>
      </c>
      <c r="F691" s="3" t="s">
        <v>991</v>
      </c>
      <c r="G691" s="3" t="s">
        <v>72</v>
      </c>
      <c r="H691" s="2" t="s">
        <v>21</v>
      </c>
      <c r="I691" s="2" t="s">
        <v>1833</v>
      </c>
      <c r="J691" s="3" t="str">
        <f>HYPERLINK("https://www.boe.es/gazeta/dias/1817/05/22/pdfs/GMD-1817-61.pdf#page=1","Abrir facsímil")</f>
        <v>Abrir facsímil</v>
      </c>
      <c r="K691" s="3" t="s">
        <v>23</v>
      </c>
    </row>
    <row r="692" spans="1:11" ht="42" customHeight="1">
      <c r="A692" s="2" t="s">
        <v>1832</v>
      </c>
      <c r="B692" s="2" t="s">
        <v>1832</v>
      </c>
      <c r="C692" s="2" t="s">
        <v>55</v>
      </c>
      <c r="D692" s="2" t="s">
        <v>44</v>
      </c>
      <c r="E692" s="5">
        <v>-29957</v>
      </c>
      <c r="F692" s="3" t="s">
        <v>1001</v>
      </c>
      <c r="G692" s="3" t="s">
        <v>144</v>
      </c>
      <c r="H692" s="2" t="s">
        <v>21</v>
      </c>
      <c r="I692" s="2" t="s">
        <v>1834</v>
      </c>
      <c r="J692" s="3" t="str">
        <f>HYPERLINK("https://www.boe.es/gazeta/dias/1817/12/23/pdfs/GMD-1817-153.pdf#page=4","Abrir facsímil")</f>
        <v>Abrir facsímil</v>
      </c>
      <c r="K692" s="3" t="s">
        <v>23</v>
      </c>
    </row>
    <row r="693" spans="1:11" ht="42" customHeight="1">
      <c r="A693" s="2" t="s">
        <v>1835</v>
      </c>
      <c r="B693" s="2" t="s">
        <v>1836</v>
      </c>
      <c r="C693" s="2" t="s">
        <v>97</v>
      </c>
      <c r="D693" s="2" t="s">
        <v>44</v>
      </c>
      <c r="E693" s="5">
        <v>-30284</v>
      </c>
      <c r="F693" s="3" t="s">
        <v>741</v>
      </c>
      <c r="G693" s="3" t="s">
        <v>77</v>
      </c>
      <c r="H693" s="2" t="s">
        <v>21</v>
      </c>
      <c r="I693" s="2" t="s">
        <v>1837</v>
      </c>
      <c r="J693" s="3" t="str">
        <f>HYPERLINK("https://www.boe.es/gazeta/dias/1817/01/30/pdfs/GMD-1817-13.pdf#page=8","Abrir facsímil")</f>
        <v>Abrir facsímil</v>
      </c>
      <c r="K693" s="3" t="s">
        <v>23</v>
      </c>
    </row>
    <row r="694" spans="1:11" ht="42" customHeight="1">
      <c r="A694" s="2" t="s">
        <v>1838</v>
      </c>
      <c r="B694" s="2" t="s">
        <v>1838</v>
      </c>
      <c r="C694" s="2" t="s">
        <v>17</v>
      </c>
      <c r="D694" s="2" t="s">
        <v>18</v>
      </c>
      <c r="E694" s="5">
        <v>-30090</v>
      </c>
      <c r="F694" s="3" t="s">
        <v>89</v>
      </c>
      <c r="G694" s="3" t="s">
        <v>1839</v>
      </c>
      <c r="H694" s="2" t="s">
        <v>21</v>
      </c>
      <c r="I694" s="2" t="s">
        <v>1840</v>
      </c>
      <c r="J694" s="3" t="str">
        <f>HYPERLINK("https://www.boe.es/gazeta/dias/1817/08/12/pdfs/GMD-1817-96.pdf#page=4","Abrir facsímil")</f>
        <v>Abrir facsímil</v>
      </c>
      <c r="K694" s="3" t="s">
        <v>23</v>
      </c>
    </row>
    <row r="695" spans="1:11" ht="42" customHeight="1">
      <c r="A695" s="2" t="s">
        <v>1841</v>
      </c>
      <c r="B695" s="2" t="s">
        <v>1841</v>
      </c>
      <c r="C695" s="2" t="s">
        <v>36</v>
      </c>
      <c r="D695" s="2" t="s">
        <v>37</v>
      </c>
      <c r="E695" s="5">
        <v>-29955</v>
      </c>
      <c r="F695" s="3" t="s">
        <v>805</v>
      </c>
      <c r="G695" s="3" t="s">
        <v>1842</v>
      </c>
      <c r="H695" s="2" t="s">
        <v>21</v>
      </c>
      <c r="I695" s="2" t="s">
        <v>1843</v>
      </c>
      <c r="J695" s="3" t="str">
        <f>HYPERLINK("https://www.boe.es/gazeta/dias/1817/12/25/pdfs/GMD-1817-154.pdf#page=3","Abrir facsímil")</f>
        <v>Abrir facsímil</v>
      </c>
      <c r="K695" s="3" t="s">
        <v>23</v>
      </c>
    </row>
    <row r="696" spans="1:11" ht="42" customHeight="1">
      <c r="A696" s="2" t="s">
        <v>1844</v>
      </c>
      <c r="B696" s="2" t="s">
        <v>1845</v>
      </c>
      <c r="C696" s="2" t="s">
        <v>36</v>
      </c>
      <c r="D696" s="2" t="s">
        <v>37</v>
      </c>
      <c r="E696" s="5">
        <v>-30149</v>
      </c>
      <c r="F696" s="3" t="s">
        <v>430</v>
      </c>
      <c r="G696" s="3" t="s">
        <v>57</v>
      </c>
      <c r="H696" s="2" t="s">
        <v>21</v>
      </c>
      <c r="I696" s="2" t="s">
        <v>1846</v>
      </c>
      <c r="J696" s="3" t="str">
        <f>HYPERLINK("https://www.boe.es/gazeta/dias/1817/06/14/pdfs/GMD-1817-71.pdf#page=6","Abrir facsímil")</f>
        <v>Abrir facsímil</v>
      </c>
      <c r="K696" s="3" t="s">
        <v>23</v>
      </c>
    </row>
    <row r="697" spans="1:11" ht="42" customHeight="1">
      <c r="A697" s="2" t="s">
        <v>1844</v>
      </c>
      <c r="B697" s="2" t="s">
        <v>1845</v>
      </c>
      <c r="C697" s="2" t="s">
        <v>36</v>
      </c>
      <c r="D697" s="2" t="s">
        <v>37</v>
      </c>
      <c r="E697" s="5">
        <v>-30144</v>
      </c>
      <c r="F697" s="3" t="s">
        <v>846</v>
      </c>
      <c r="G697" s="3" t="s">
        <v>39</v>
      </c>
      <c r="H697" s="2" t="s">
        <v>21</v>
      </c>
      <c r="I697" s="2" t="s">
        <v>1847</v>
      </c>
      <c r="J697" s="3" t="str">
        <f>HYPERLINK("https://www.boe.es/gazeta/dias/1817/06/19/pdfs/GMD-1817-73.pdf#page=5","Abrir facsímil")</f>
        <v>Abrir facsímil</v>
      </c>
      <c r="K697" s="3" t="s">
        <v>23</v>
      </c>
    </row>
    <row r="698" spans="1:11" ht="42" customHeight="1">
      <c r="A698" s="2" t="s">
        <v>1848</v>
      </c>
      <c r="B698" s="2" t="s">
        <v>1848</v>
      </c>
      <c r="C698" s="2" t="s">
        <v>43</v>
      </c>
      <c r="D698" s="2" t="s">
        <v>44</v>
      </c>
      <c r="E698" s="5">
        <v>-30034</v>
      </c>
      <c r="F698" s="3" t="s">
        <v>270</v>
      </c>
      <c r="G698" s="3" t="s">
        <v>1727</v>
      </c>
      <c r="H698" s="2" t="s">
        <v>21</v>
      </c>
      <c r="I698" s="2" t="s">
        <v>1849</v>
      </c>
      <c r="J698" s="3" t="str">
        <f>HYPERLINK("https://www.boe.es/gazeta/dias/1817/10/07/pdfs/GMD-1817-120.pdf#page=2","Abrir facsímil")</f>
        <v>Abrir facsímil</v>
      </c>
      <c r="K698" s="3" t="s">
        <v>23</v>
      </c>
    </row>
    <row r="699" spans="1:11" ht="42" customHeight="1">
      <c r="A699" s="2" t="s">
        <v>1850</v>
      </c>
      <c r="B699" s="2" t="s">
        <v>1850</v>
      </c>
      <c r="C699" s="2" t="s">
        <v>36</v>
      </c>
      <c r="D699" s="2" t="s">
        <v>37</v>
      </c>
      <c r="E699" s="5">
        <v>-30195</v>
      </c>
      <c r="F699" s="3" t="s">
        <v>1163</v>
      </c>
      <c r="G699" s="3" t="s">
        <v>1851</v>
      </c>
      <c r="H699" s="2" t="s">
        <v>21</v>
      </c>
      <c r="I699" s="2" t="s">
        <v>1852</v>
      </c>
      <c r="J699" s="3" t="str">
        <f>HYPERLINK("https://www.boe.es/gazeta/dias/1817/04/29/pdfs/GMD-1817-51.pdf#page=2","Abrir facsímil")</f>
        <v>Abrir facsímil</v>
      </c>
      <c r="K699" s="3" t="s">
        <v>23</v>
      </c>
    </row>
    <row r="700" spans="1:11" ht="42" customHeight="1">
      <c r="A700" s="2" t="s">
        <v>1853</v>
      </c>
      <c r="B700" s="2" t="s">
        <v>1853</v>
      </c>
      <c r="C700" s="2" t="s">
        <v>36</v>
      </c>
      <c r="D700" s="2" t="s">
        <v>37</v>
      </c>
      <c r="E700" s="5">
        <v>-30158</v>
      </c>
      <c r="F700" s="3" t="s">
        <v>305</v>
      </c>
      <c r="G700" s="3" t="s">
        <v>551</v>
      </c>
      <c r="H700" s="2" t="s">
        <v>21</v>
      </c>
      <c r="I700" s="2" t="s">
        <v>1854</v>
      </c>
      <c r="J700" s="3" t="str">
        <f>HYPERLINK("https://www.boe.es/gazeta/dias/1817/06/05/pdfs/GMD-1817-67.pdf#page=3","Abrir facsímil")</f>
        <v>Abrir facsímil</v>
      </c>
      <c r="K700" s="3" t="s">
        <v>23</v>
      </c>
    </row>
    <row r="701" spans="1:11" ht="42" customHeight="1">
      <c r="A701" s="2" t="s">
        <v>1853</v>
      </c>
      <c r="B701" s="2" t="s">
        <v>1853</v>
      </c>
      <c r="C701" s="2" t="s">
        <v>36</v>
      </c>
      <c r="D701" s="2" t="s">
        <v>37</v>
      </c>
      <c r="E701" s="5">
        <v>-30067</v>
      </c>
      <c r="F701" s="3" t="s">
        <v>1221</v>
      </c>
      <c r="G701" s="3" t="s">
        <v>551</v>
      </c>
      <c r="H701" s="2" t="s">
        <v>21</v>
      </c>
      <c r="I701" s="2" t="s">
        <v>1855</v>
      </c>
      <c r="J701" s="3" t="str">
        <f>HYPERLINK("https://www.boe.es/gazeta/dias/1817/09/04/pdfs/GMD-1817-106.pdf#page=3","Abrir facsímil")</f>
        <v>Abrir facsímil</v>
      </c>
      <c r="K701" s="3" t="s">
        <v>23</v>
      </c>
    </row>
    <row r="702" spans="1:11" ht="42" customHeight="1">
      <c r="A702" s="2" t="s">
        <v>1856</v>
      </c>
      <c r="B702" s="2" t="s">
        <v>1857</v>
      </c>
      <c r="C702" s="2" t="s">
        <v>36</v>
      </c>
      <c r="D702" s="2" t="s">
        <v>37</v>
      </c>
      <c r="E702" s="5">
        <v>-30128</v>
      </c>
      <c r="F702" s="3" t="s">
        <v>761</v>
      </c>
      <c r="G702" s="3" t="s">
        <v>20</v>
      </c>
      <c r="H702" s="2" t="s">
        <v>21</v>
      </c>
      <c r="I702" s="2" t="s">
        <v>1858</v>
      </c>
      <c r="J702" s="3" t="str">
        <f>HYPERLINK("https://www.boe.es/gazeta/dias/1817/07/05/pdfs/GMD-1817-80.pdf#page=7","Abrir facsímil")</f>
        <v>Abrir facsímil</v>
      </c>
      <c r="K702" s="3" t="s">
        <v>23</v>
      </c>
    </row>
    <row r="703" spans="1:11" ht="42" customHeight="1">
      <c r="A703" s="2" t="s">
        <v>1859</v>
      </c>
      <c r="B703" s="2" t="s">
        <v>1860</v>
      </c>
      <c r="C703" s="2" t="s">
        <v>17</v>
      </c>
      <c r="D703" s="2" t="s">
        <v>18</v>
      </c>
      <c r="E703" s="5">
        <v>-30179</v>
      </c>
      <c r="F703" s="3" t="s">
        <v>391</v>
      </c>
      <c r="G703" s="3" t="s">
        <v>20</v>
      </c>
      <c r="H703" s="2" t="s">
        <v>21</v>
      </c>
      <c r="I703" s="2" t="s">
        <v>1861</v>
      </c>
      <c r="J703" s="3" t="str">
        <f>HYPERLINK("https://www.boe.es/gazeta/dias/1817/05/15/pdfs/GMD-1817-58.pdf#page=7","Abrir facsímil")</f>
        <v>Abrir facsímil</v>
      </c>
      <c r="K703" s="3" t="s">
        <v>23</v>
      </c>
    </row>
    <row r="704" spans="1:11" ht="42" customHeight="1">
      <c r="A704" s="2" t="s">
        <v>1862</v>
      </c>
      <c r="B704" s="2" t="s">
        <v>1863</v>
      </c>
      <c r="C704" s="2" t="s">
        <v>43</v>
      </c>
      <c r="D704" s="2" t="s">
        <v>44</v>
      </c>
      <c r="E704" s="5">
        <v>-30191</v>
      </c>
      <c r="F704" s="3" t="s">
        <v>420</v>
      </c>
      <c r="G704" s="3" t="s">
        <v>421</v>
      </c>
      <c r="H704" s="2" t="s">
        <v>21</v>
      </c>
      <c r="I704" s="2" t="s">
        <v>1864</v>
      </c>
      <c r="J704" s="3" t="str">
        <f>HYPERLINK("https://www.boe.es/gazeta/dias/1817/05/03/pdfs/GMD-1817-53.pdf#page=8","Abrir facsímil")</f>
        <v>Abrir facsímil</v>
      </c>
      <c r="K704" s="3" t="s">
        <v>23</v>
      </c>
    </row>
    <row r="705" spans="1:11" ht="42" customHeight="1">
      <c r="A705" s="2" t="s">
        <v>1865</v>
      </c>
      <c r="B705" s="2" t="s">
        <v>1866</v>
      </c>
      <c r="C705" s="2" t="s">
        <v>49</v>
      </c>
      <c r="D705" s="2" t="s">
        <v>44</v>
      </c>
      <c r="E705" s="5">
        <v>-30053</v>
      </c>
      <c r="F705" s="3" t="s">
        <v>129</v>
      </c>
      <c r="G705" s="3" t="s">
        <v>82</v>
      </c>
      <c r="H705" s="2" t="s">
        <v>21</v>
      </c>
      <c r="I705" s="2" t="s">
        <v>1867</v>
      </c>
      <c r="J705" s="3" t="str">
        <f>HYPERLINK("https://www.boe.es/gazeta/dias/1817/09/18/pdfs/GMD-1817-112.pdf#page=12","Abrir facsímil")</f>
        <v>Abrir facsímil</v>
      </c>
      <c r="K705" s="3" t="s">
        <v>23</v>
      </c>
    </row>
    <row r="706" spans="1:11" ht="42" customHeight="1">
      <c r="A706" s="2" t="s">
        <v>1868</v>
      </c>
      <c r="B706" s="2" t="s">
        <v>1869</v>
      </c>
      <c r="C706" s="2" t="s">
        <v>55</v>
      </c>
      <c r="D706" s="2" t="s">
        <v>44</v>
      </c>
      <c r="E706" s="5">
        <v>-30223</v>
      </c>
      <c r="F706" s="3" t="s">
        <v>627</v>
      </c>
      <c r="G706" s="3" t="s">
        <v>77</v>
      </c>
      <c r="H706" s="2" t="s">
        <v>21</v>
      </c>
      <c r="I706" s="2" t="s">
        <v>1870</v>
      </c>
      <c r="J706" s="3" t="str">
        <f>HYPERLINK("https://www.boe.es/gazeta/dias/1817/04/01/pdfs/GMD-1817-39.pdf#page=8","Abrir facsímil")</f>
        <v>Abrir facsímil</v>
      </c>
      <c r="K706" s="3" t="s">
        <v>23</v>
      </c>
    </row>
    <row r="707" spans="1:11" ht="42" customHeight="1">
      <c r="A707" s="2" t="s">
        <v>1871</v>
      </c>
      <c r="B707" s="2" t="s">
        <v>1872</v>
      </c>
      <c r="C707" s="2" t="s">
        <v>43</v>
      </c>
      <c r="D707" s="2" t="s">
        <v>44</v>
      </c>
      <c r="E707" s="5">
        <v>-30044</v>
      </c>
      <c r="F707" s="3" t="s">
        <v>450</v>
      </c>
      <c r="G707" s="3" t="s">
        <v>1381</v>
      </c>
      <c r="H707" s="2" t="s">
        <v>27</v>
      </c>
      <c r="I707" s="2" t="s">
        <v>1873</v>
      </c>
      <c r="J707" s="3" t="str">
        <f>HYPERLINK("https://www.boe.es/gazeta/dias/1817/09/27/pdfs/GMD-1817-116.pdf#page=4","Abrir facsímil")</f>
        <v>Abrir facsímil</v>
      </c>
      <c r="K707" s="3" t="s">
        <v>29</v>
      </c>
    </row>
    <row r="708" spans="1:11" ht="42" customHeight="1">
      <c r="A708" s="2" t="s">
        <v>1874</v>
      </c>
      <c r="B708" s="2" t="s">
        <v>1875</v>
      </c>
      <c r="C708" s="2" t="s">
        <v>1325</v>
      </c>
      <c r="D708" s="2" t="s">
        <v>18</v>
      </c>
      <c r="E708" s="5">
        <v>-30044</v>
      </c>
      <c r="F708" s="3" t="s">
        <v>450</v>
      </c>
      <c r="G708" s="3" t="s">
        <v>451</v>
      </c>
      <c r="H708" s="2" t="s">
        <v>21</v>
      </c>
      <c r="I708" s="2" t="s">
        <v>1876</v>
      </c>
      <c r="J708" s="3" t="str">
        <f>HYPERLINK("https://www.boe.es/gazeta/dias/1817/09/27/pdfs/GMD-1817-116.pdf#page=8","Abrir facsímil")</f>
        <v>Abrir facsímil</v>
      </c>
      <c r="K708" s="3" t="s">
        <v>23</v>
      </c>
    </row>
    <row r="709" spans="1:11" ht="42" customHeight="1">
      <c r="A709" s="2" t="s">
        <v>1877</v>
      </c>
      <c r="B709" s="2" t="s">
        <v>1878</v>
      </c>
      <c r="C709" s="2" t="s">
        <v>138</v>
      </c>
      <c r="D709" s="2" t="s">
        <v>44</v>
      </c>
      <c r="E709" s="5">
        <v>-30011</v>
      </c>
      <c r="F709" s="3" t="s">
        <v>313</v>
      </c>
      <c r="G709" s="3" t="s">
        <v>82</v>
      </c>
      <c r="H709" s="2" t="s">
        <v>21</v>
      </c>
      <c r="I709" s="2" t="s">
        <v>1879</v>
      </c>
      <c r="J709" s="3" t="str">
        <f>HYPERLINK("https://www.boe.es/gazeta/dias/1817/10/30/pdfs/GMD-1817-130.pdf#page=12","Abrir facsímil")</f>
        <v>Abrir facsímil</v>
      </c>
      <c r="K709" s="3" t="s">
        <v>23</v>
      </c>
    </row>
    <row r="710" spans="1:11" ht="42" customHeight="1">
      <c r="A710" s="2" t="s">
        <v>1880</v>
      </c>
      <c r="B710" s="2" t="s">
        <v>1881</v>
      </c>
      <c r="C710" s="2" t="s">
        <v>43</v>
      </c>
      <c r="D710" s="2" t="s">
        <v>44</v>
      </c>
      <c r="E710" s="5">
        <v>-30160</v>
      </c>
      <c r="F710" s="3" t="s">
        <v>116</v>
      </c>
      <c r="G710" s="3" t="s">
        <v>567</v>
      </c>
      <c r="H710" s="2" t="s">
        <v>21</v>
      </c>
      <c r="I710" s="2" t="s">
        <v>1882</v>
      </c>
      <c r="J710" s="3" t="str">
        <f>HYPERLINK("https://www.boe.es/gazeta/dias/1817/06/03/pdfs/GMD-1817-66.pdf#page=6","Abrir facsímil")</f>
        <v>Abrir facsímil</v>
      </c>
      <c r="K710" s="3" t="s">
        <v>23</v>
      </c>
    </row>
    <row r="711" spans="1:11" ht="42" customHeight="1">
      <c r="A711" s="2" t="s">
        <v>1883</v>
      </c>
      <c r="B711" s="2" t="s">
        <v>1884</v>
      </c>
      <c r="C711" s="2" t="s">
        <v>43</v>
      </c>
      <c r="D711" s="2" t="s">
        <v>44</v>
      </c>
      <c r="E711" s="5">
        <v>-29988</v>
      </c>
      <c r="F711" s="3" t="s">
        <v>569</v>
      </c>
      <c r="G711" s="3" t="s">
        <v>57</v>
      </c>
      <c r="H711" s="2" t="s">
        <v>21</v>
      </c>
      <c r="I711" s="2" t="s">
        <v>1885</v>
      </c>
      <c r="J711" s="3" t="str">
        <f>HYPERLINK("https://www.boe.es/gazeta/dias/1817/11/22/pdfs/GMD-1817-140.pdf#page=6","Abrir facsímil")</f>
        <v>Abrir facsímil</v>
      </c>
      <c r="K711" s="3" t="s">
        <v>23</v>
      </c>
    </row>
    <row r="712" spans="1:11" ht="42" customHeight="1">
      <c r="A712" s="2" t="s">
        <v>1886</v>
      </c>
      <c r="B712" s="2" t="s">
        <v>1887</v>
      </c>
      <c r="C712" s="2" t="s">
        <v>138</v>
      </c>
      <c r="D712" s="2" t="s">
        <v>44</v>
      </c>
      <c r="E712" s="5">
        <v>-30160</v>
      </c>
      <c r="F712" s="3" t="s">
        <v>116</v>
      </c>
      <c r="G712" s="3" t="s">
        <v>567</v>
      </c>
      <c r="H712" s="2" t="s">
        <v>21</v>
      </c>
      <c r="I712" s="2" t="s">
        <v>1888</v>
      </c>
      <c r="J712" s="3" t="str">
        <f>HYPERLINK("https://www.boe.es/gazeta/dias/1817/06/03/pdfs/GMD-1817-66.pdf#page=6","Abrir facsímil")</f>
        <v>Abrir facsímil</v>
      </c>
      <c r="K712" s="3" t="s">
        <v>23</v>
      </c>
    </row>
    <row r="713" spans="1:11" ht="42" customHeight="1">
      <c r="A713" s="2" t="s">
        <v>1889</v>
      </c>
      <c r="B713" s="2" t="s">
        <v>1890</v>
      </c>
      <c r="C713" s="2" t="s">
        <v>43</v>
      </c>
      <c r="D713" s="2" t="s">
        <v>44</v>
      </c>
      <c r="E713" s="5">
        <v>-30286</v>
      </c>
      <c r="F713" s="3" t="s">
        <v>354</v>
      </c>
      <c r="G713" s="3" t="s">
        <v>1580</v>
      </c>
      <c r="H713" s="2" t="s">
        <v>21</v>
      </c>
      <c r="I713" s="2" t="s">
        <v>1891</v>
      </c>
      <c r="J713" s="3" t="str">
        <f>HYPERLINK("https://www.boe.es/gazeta/dias/1817/01/28/pdfs/GMD-1817-12.pdf#page=5","Abrir facsímil")</f>
        <v>Abrir facsímil</v>
      </c>
      <c r="K713" s="3" t="s">
        <v>23</v>
      </c>
    </row>
    <row r="714" spans="1:11" ht="42" customHeight="1">
      <c r="A714" s="2" t="s">
        <v>1892</v>
      </c>
      <c r="B714" s="2" t="s">
        <v>1893</v>
      </c>
      <c r="C714" s="2" t="s">
        <v>43</v>
      </c>
      <c r="D714" s="2" t="s">
        <v>44</v>
      </c>
      <c r="E714" s="5">
        <v>-29997</v>
      </c>
      <c r="F714" s="3" t="s">
        <v>652</v>
      </c>
      <c r="G714" s="3" t="s">
        <v>112</v>
      </c>
      <c r="H714" s="2" t="s">
        <v>21</v>
      </c>
      <c r="I714" s="2" t="s">
        <v>1894</v>
      </c>
      <c r="J714" s="3" t="str">
        <f>HYPERLINK("https://www.boe.es/gazeta/dias/1817/11/13/pdfs/GMD-1817-136.pdf#page=11","Abrir facsímil")</f>
        <v>Abrir facsímil</v>
      </c>
      <c r="K714" s="3" t="s">
        <v>23</v>
      </c>
    </row>
    <row r="715" spans="1:11" ht="42" customHeight="1">
      <c r="A715" s="2" t="s">
        <v>1895</v>
      </c>
      <c r="B715" s="2" t="s">
        <v>1896</v>
      </c>
      <c r="C715" s="2" t="s">
        <v>17</v>
      </c>
      <c r="D715" s="2" t="s">
        <v>18</v>
      </c>
      <c r="E715" s="5">
        <v>-30037</v>
      </c>
      <c r="F715" s="3" t="s">
        <v>453</v>
      </c>
      <c r="G715" s="3" t="s">
        <v>1897</v>
      </c>
      <c r="H715" s="2" t="s">
        <v>21</v>
      </c>
      <c r="I715" s="2" t="s">
        <v>1898</v>
      </c>
      <c r="J715" s="3" t="str">
        <f>HYPERLINK("https://www.boe.es/gazeta/dias/1817/10/04/pdfs/GMD-1817-119.pdf#page=4","Abrir facsímil")</f>
        <v>Abrir facsímil</v>
      </c>
      <c r="K715" s="3" t="s">
        <v>23</v>
      </c>
    </row>
    <row r="716" spans="1:11" ht="42" customHeight="1">
      <c r="A716" s="2" t="s">
        <v>1899</v>
      </c>
      <c r="B716" s="2" t="s">
        <v>1900</v>
      </c>
      <c r="C716" s="2" t="s">
        <v>49</v>
      </c>
      <c r="D716" s="2" t="s">
        <v>44</v>
      </c>
      <c r="E716" s="5">
        <v>-30023</v>
      </c>
      <c r="F716" s="3" t="s">
        <v>460</v>
      </c>
      <c r="G716" s="3" t="s">
        <v>39</v>
      </c>
      <c r="H716" s="2" t="s">
        <v>27</v>
      </c>
      <c r="I716" s="2" t="s">
        <v>1901</v>
      </c>
      <c r="J716" s="3" t="str">
        <f>HYPERLINK("https://www.boe.es/gazeta/dias/1817/10/18/pdfs/GMD-1817-125.pdf#page=5","Abrir facsímil")</f>
        <v>Abrir facsímil</v>
      </c>
      <c r="K716" s="3" t="s">
        <v>29</v>
      </c>
    </row>
    <row r="717" spans="1:11" ht="42" customHeight="1">
      <c r="A717" s="2" t="s">
        <v>1902</v>
      </c>
      <c r="B717" s="2" t="s">
        <v>1902</v>
      </c>
      <c r="C717" s="2" t="s">
        <v>36</v>
      </c>
      <c r="D717" s="2" t="s">
        <v>37</v>
      </c>
      <c r="E717" s="5">
        <v>-30195</v>
      </c>
      <c r="F717" s="3" t="s">
        <v>1163</v>
      </c>
      <c r="G717" s="3" t="s">
        <v>72</v>
      </c>
      <c r="H717" s="2" t="s">
        <v>21</v>
      </c>
      <c r="I717" s="2" t="s">
        <v>1903</v>
      </c>
      <c r="J717" s="3" t="str">
        <f>HYPERLINK("https://www.boe.es/gazeta/dias/1817/04/29/pdfs/GMD-1817-51.pdf#page=1","Abrir facsímil")</f>
        <v>Abrir facsímil</v>
      </c>
      <c r="K717" s="3" t="s">
        <v>23</v>
      </c>
    </row>
    <row r="718" spans="1:11" ht="42" customHeight="1">
      <c r="A718" s="2" t="s">
        <v>1902</v>
      </c>
      <c r="B718" s="2" t="s">
        <v>1902</v>
      </c>
      <c r="C718" s="2" t="s">
        <v>17</v>
      </c>
      <c r="D718" s="2" t="s">
        <v>18</v>
      </c>
      <c r="E718" s="5">
        <v>-30076</v>
      </c>
      <c r="F718" s="3" t="s">
        <v>439</v>
      </c>
      <c r="G718" s="3" t="s">
        <v>629</v>
      </c>
      <c r="H718" s="2" t="s">
        <v>21</v>
      </c>
      <c r="I718" s="2" t="s">
        <v>1904</v>
      </c>
      <c r="J718" s="3" t="str">
        <f>HYPERLINK("https://www.boe.es/gazeta/dias/1817/08/26/pdfs/GMD-1817-102.pdf#page=2","Abrir facsímil")</f>
        <v>Abrir facsímil</v>
      </c>
      <c r="K718" s="3" t="s">
        <v>23</v>
      </c>
    </row>
    <row r="719" spans="1:11" ht="42" customHeight="1">
      <c r="A719" s="2" t="s">
        <v>1905</v>
      </c>
      <c r="B719" s="2" t="s">
        <v>1906</v>
      </c>
      <c r="C719" s="2" t="s">
        <v>43</v>
      </c>
      <c r="D719" s="2" t="s">
        <v>44</v>
      </c>
      <c r="E719" s="5">
        <v>-30310</v>
      </c>
      <c r="F719" s="3" t="s">
        <v>93</v>
      </c>
      <c r="G719" s="3" t="s">
        <v>57</v>
      </c>
      <c r="H719" s="2" t="s">
        <v>21</v>
      </c>
      <c r="I719" s="2" t="s">
        <v>1907</v>
      </c>
      <c r="J719" s="3" t="str">
        <f>HYPERLINK("https://www.boe.es/gazeta/dias/1817/01/04/pdfs/GMD-1817-2.pdf#page=6","Abrir facsímil")</f>
        <v>Abrir facsímil</v>
      </c>
      <c r="K719" s="3" t="s">
        <v>23</v>
      </c>
    </row>
    <row r="720" spans="1:11" ht="42" customHeight="1">
      <c r="A720" s="2" t="s">
        <v>1908</v>
      </c>
      <c r="B720" s="2" t="s">
        <v>1909</v>
      </c>
      <c r="C720" s="2" t="s">
        <v>97</v>
      </c>
      <c r="D720" s="2" t="s">
        <v>44</v>
      </c>
      <c r="E720" s="5">
        <v>-29976</v>
      </c>
      <c r="F720" s="3" t="s">
        <v>81</v>
      </c>
      <c r="G720" s="3" t="s">
        <v>82</v>
      </c>
      <c r="H720" s="2" t="s">
        <v>27</v>
      </c>
      <c r="I720" s="2" t="s">
        <v>1910</v>
      </c>
      <c r="J720" s="3" t="str">
        <f>HYPERLINK("https://www.boe.es/gazeta/dias/1817/12/04/pdfs/GMD-1817-145.pdf#page=12","Abrir facsímil")</f>
        <v>Abrir facsímil</v>
      </c>
      <c r="K720" s="3" t="s">
        <v>29</v>
      </c>
    </row>
    <row r="721" spans="1:11" ht="42" customHeight="1">
      <c r="A721" s="2" t="s">
        <v>1911</v>
      </c>
      <c r="B721" s="2" t="s">
        <v>1911</v>
      </c>
      <c r="C721" s="2" t="s">
        <v>36</v>
      </c>
      <c r="D721" s="2" t="s">
        <v>37</v>
      </c>
      <c r="E721" s="5">
        <v>-30116</v>
      </c>
      <c r="F721" s="3" t="s">
        <v>319</v>
      </c>
      <c r="G721" s="3" t="s">
        <v>57</v>
      </c>
      <c r="H721" s="2" t="s">
        <v>21</v>
      </c>
      <c r="I721" s="2" t="s">
        <v>1912</v>
      </c>
      <c r="J721" s="3" t="str">
        <f>HYPERLINK("https://www.boe.es/gazeta/dias/1817/07/17/pdfs/GMD-1817-85.pdf#page=6","Abrir facsímil")</f>
        <v>Abrir facsímil</v>
      </c>
      <c r="K721" s="3" t="s">
        <v>23</v>
      </c>
    </row>
    <row r="722" spans="1:11" ht="42" customHeight="1">
      <c r="A722" s="2" t="s">
        <v>1913</v>
      </c>
      <c r="B722" s="2" t="s">
        <v>1914</v>
      </c>
      <c r="C722" s="2" t="s">
        <v>36</v>
      </c>
      <c r="D722" s="2" t="s">
        <v>37</v>
      </c>
      <c r="E722" s="5">
        <v>-30188</v>
      </c>
      <c r="F722" s="3" t="s">
        <v>177</v>
      </c>
      <c r="G722" s="3" t="s">
        <v>144</v>
      </c>
      <c r="H722" s="2" t="s">
        <v>21</v>
      </c>
      <c r="I722" s="2" t="s">
        <v>1915</v>
      </c>
      <c r="J722" s="3" t="str">
        <f>HYPERLINK("https://www.boe.es/gazeta/dias/1817/05/06/pdfs/GMD-1817-54.pdf#page=4","Abrir facsímil")</f>
        <v>Abrir facsímil</v>
      </c>
      <c r="K722" s="3" t="s">
        <v>23</v>
      </c>
    </row>
    <row r="723" spans="1:11" ht="42" customHeight="1">
      <c r="A723" s="2" t="s">
        <v>1916</v>
      </c>
      <c r="B723" s="2" t="s">
        <v>1917</v>
      </c>
      <c r="C723" s="2" t="s">
        <v>43</v>
      </c>
      <c r="D723" s="2" t="s">
        <v>44</v>
      </c>
      <c r="E723" s="5">
        <v>-30265</v>
      </c>
      <c r="F723" s="3" t="s">
        <v>107</v>
      </c>
      <c r="G723" s="3" t="s">
        <v>997</v>
      </c>
      <c r="H723" s="2" t="s">
        <v>21</v>
      </c>
      <c r="I723" s="2" t="s">
        <v>1918</v>
      </c>
      <c r="J723" s="3" t="str">
        <f>HYPERLINK("https://www.boe.es/gazeta/dias/1817/02/18/pdfs/GMD-1817-21.pdf#page=5","Abrir facsímil")</f>
        <v>Abrir facsímil</v>
      </c>
      <c r="K723" s="3" t="s">
        <v>23</v>
      </c>
    </row>
    <row r="724" spans="1:11" ht="42" customHeight="1">
      <c r="A724" s="2" t="s">
        <v>1919</v>
      </c>
      <c r="B724" s="2" t="s">
        <v>1920</v>
      </c>
      <c r="C724" s="2" t="s">
        <v>17</v>
      </c>
      <c r="D724" s="2" t="s">
        <v>18</v>
      </c>
      <c r="E724" s="5">
        <v>-30081</v>
      </c>
      <c r="F724" s="3" t="s">
        <v>133</v>
      </c>
      <c r="G724" s="3" t="s">
        <v>82</v>
      </c>
      <c r="H724" s="2" t="s">
        <v>21</v>
      </c>
      <c r="I724" s="2" t="s">
        <v>1921</v>
      </c>
      <c r="J724" s="3" t="str">
        <f>HYPERLINK("https://www.boe.es/gazeta/dias/1817/08/21/pdfs/GMD-1817-100.pdf#page=12","Abrir facsímil")</f>
        <v>Abrir facsímil</v>
      </c>
      <c r="K724" s="3" t="s">
        <v>23</v>
      </c>
    </row>
    <row r="725" spans="1:11" ht="42" customHeight="1">
      <c r="A725" s="2" t="s">
        <v>1922</v>
      </c>
      <c r="B725" s="2" t="s">
        <v>1923</v>
      </c>
      <c r="C725" s="2" t="s">
        <v>36</v>
      </c>
      <c r="D725" s="2" t="s">
        <v>37</v>
      </c>
      <c r="E725" s="5">
        <v>-30144</v>
      </c>
      <c r="F725" s="3" t="s">
        <v>846</v>
      </c>
      <c r="G725" s="3" t="s">
        <v>77</v>
      </c>
      <c r="H725" s="2" t="s">
        <v>21</v>
      </c>
      <c r="I725" s="2" t="s">
        <v>1924</v>
      </c>
      <c r="J725" s="3" t="str">
        <f>HYPERLINK("https://www.boe.es/gazeta/dias/1817/06/19/pdfs/GMD-1817-73.pdf#page=8","Abrir facsímil")</f>
        <v>Abrir facsímil</v>
      </c>
      <c r="K725" s="3" t="s">
        <v>23</v>
      </c>
    </row>
    <row r="726" spans="1:11" ht="42" customHeight="1">
      <c r="A726" s="2" t="s">
        <v>1925</v>
      </c>
      <c r="B726" s="2" t="s">
        <v>1926</v>
      </c>
      <c r="C726" s="2" t="s">
        <v>17</v>
      </c>
      <c r="D726" s="2" t="s">
        <v>18</v>
      </c>
      <c r="E726" s="5">
        <v>-30305</v>
      </c>
      <c r="F726" s="3" t="s">
        <v>405</v>
      </c>
      <c r="G726" s="3" t="s">
        <v>77</v>
      </c>
      <c r="H726" s="2" t="s">
        <v>21</v>
      </c>
      <c r="I726" s="2" t="s">
        <v>1927</v>
      </c>
      <c r="J726" s="3" t="str">
        <f>HYPERLINK("https://www.boe.es/gazeta/dias/1817/01/09/pdfs/GMD-1817-4.pdf#page=8","Abrir facsímil")</f>
        <v>Abrir facsímil</v>
      </c>
      <c r="K726" s="3" t="s">
        <v>23</v>
      </c>
    </row>
    <row r="727" spans="1:11" ht="42" customHeight="1">
      <c r="A727" s="2" t="s">
        <v>1925</v>
      </c>
      <c r="B727" s="2" t="s">
        <v>1926</v>
      </c>
      <c r="C727" s="2" t="s">
        <v>17</v>
      </c>
      <c r="D727" s="2" t="s">
        <v>18</v>
      </c>
      <c r="E727" s="5">
        <v>-30261</v>
      </c>
      <c r="F727" s="3" t="s">
        <v>226</v>
      </c>
      <c r="G727" s="3" t="s">
        <v>20</v>
      </c>
      <c r="H727" s="2" t="s">
        <v>21</v>
      </c>
      <c r="I727" s="2" t="s">
        <v>1928</v>
      </c>
      <c r="J727" s="3" t="str">
        <f>HYPERLINK("https://www.boe.es/gazeta/dias/1817/02/22/pdfs/GMD-1817-23.pdf#page=7","Abrir facsímil")</f>
        <v>Abrir facsímil</v>
      </c>
      <c r="K727" s="3" t="s">
        <v>23</v>
      </c>
    </row>
    <row r="728" spans="1:11" ht="42" customHeight="1">
      <c r="A728" s="2" t="s">
        <v>1929</v>
      </c>
      <c r="B728" s="2" t="s">
        <v>1930</v>
      </c>
      <c r="C728" s="2" t="s">
        <v>36</v>
      </c>
      <c r="D728" s="2" t="s">
        <v>37</v>
      </c>
      <c r="E728" s="5">
        <v>-30205</v>
      </c>
      <c r="F728" s="3" t="s">
        <v>139</v>
      </c>
      <c r="G728" s="3" t="s">
        <v>20</v>
      </c>
      <c r="H728" s="2" t="s">
        <v>21</v>
      </c>
      <c r="I728" s="2" t="s">
        <v>1931</v>
      </c>
      <c r="J728" s="3" t="str">
        <f>HYPERLINK("https://www.boe.es/gazeta/dias/1817/04/19/pdfs/GMD-1817-47.pdf#page=7","Abrir facsímil")</f>
        <v>Abrir facsímil</v>
      </c>
      <c r="K728" s="3" t="s">
        <v>23</v>
      </c>
    </row>
    <row r="729" spans="1:11" ht="42" customHeight="1">
      <c r="A729" s="2" t="s">
        <v>1932</v>
      </c>
      <c r="B729" s="2" t="s">
        <v>1932</v>
      </c>
      <c r="C729" s="2" t="s">
        <v>36</v>
      </c>
      <c r="D729" s="2" t="s">
        <v>37</v>
      </c>
      <c r="E729" s="5">
        <v>-30130</v>
      </c>
      <c r="F729" s="3" t="s">
        <v>768</v>
      </c>
      <c r="G729" s="3" t="s">
        <v>551</v>
      </c>
      <c r="H729" s="2" t="s">
        <v>21</v>
      </c>
      <c r="I729" s="2" t="s">
        <v>1933</v>
      </c>
      <c r="J729" s="3" t="str">
        <f>HYPERLINK("https://www.boe.es/gazeta/dias/1817/07/03/pdfs/GMD-1817-79.pdf#page=3","Abrir facsímil")</f>
        <v>Abrir facsímil</v>
      </c>
      <c r="K729" s="3" t="s">
        <v>23</v>
      </c>
    </row>
    <row r="730" spans="1:11" ht="42" customHeight="1">
      <c r="A730" s="2" t="s">
        <v>1934</v>
      </c>
      <c r="B730" s="2" t="s">
        <v>1935</v>
      </c>
      <c r="C730" s="2" t="s">
        <v>97</v>
      </c>
      <c r="D730" s="2" t="s">
        <v>44</v>
      </c>
      <c r="E730" s="5">
        <v>-30034</v>
      </c>
      <c r="F730" s="3" t="s">
        <v>270</v>
      </c>
      <c r="G730" s="3" t="s">
        <v>271</v>
      </c>
      <c r="H730" s="2" t="s">
        <v>27</v>
      </c>
      <c r="I730" s="2" t="s">
        <v>1936</v>
      </c>
      <c r="J730" s="3" t="str">
        <f>HYPERLINK("https://www.boe.es/gazeta/dias/1817/10/07/pdfs/GMD-1817-120.pdf#page=8","Abrir facsímil")</f>
        <v>Abrir facsímil</v>
      </c>
      <c r="K730" s="3" t="s">
        <v>29</v>
      </c>
    </row>
    <row r="731" spans="1:11" ht="42" customHeight="1">
      <c r="A731" s="2" t="s">
        <v>1937</v>
      </c>
      <c r="B731" s="2" t="s">
        <v>1938</v>
      </c>
      <c r="C731" s="2" t="s">
        <v>36</v>
      </c>
      <c r="D731" s="2" t="s">
        <v>37</v>
      </c>
      <c r="E731" s="5">
        <v>-30060</v>
      </c>
      <c r="F731" s="3" t="s">
        <v>446</v>
      </c>
      <c r="G731" s="3" t="s">
        <v>1939</v>
      </c>
      <c r="H731" s="2" t="s">
        <v>27</v>
      </c>
      <c r="I731" s="2" t="s">
        <v>1940</v>
      </c>
      <c r="J731" s="3" t="str">
        <f>HYPERLINK("https://www.boe.es/gazeta/dias/1817/09/11/pdfs/GMD-1817-109.pdf#page=3","Abrir facsímil")</f>
        <v>Abrir facsímil</v>
      </c>
      <c r="K731" s="3" t="s">
        <v>29</v>
      </c>
    </row>
    <row r="732" spans="1:11" ht="42" customHeight="1">
      <c r="A732" s="2" t="s">
        <v>1941</v>
      </c>
      <c r="B732" s="2" t="s">
        <v>1942</v>
      </c>
      <c r="C732" s="2" t="s">
        <v>17</v>
      </c>
      <c r="D732" s="2" t="s">
        <v>18</v>
      </c>
      <c r="E732" s="5">
        <v>-30228</v>
      </c>
      <c r="F732" s="3" t="s">
        <v>383</v>
      </c>
      <c r="G732" s="3" t="s">
        <v>77</v>
      </c>
      <c r="H732" s="2" t="s">
        <v>21</v>
      </c>
      <c r="I732" s="2" t="s">
        <v>1943</v>
      </c>
      <c r="J732" s="3" t="str">
        <f>HYPERLINK("https://www.boe.es/gazeta/dias/1817/03/27/pdfs/GMD-1817-37.pdf#page=8","Abrir facsímil")</f>
        <v>Abrir facsímil</v>
      </c>
      <c r="K732" s="3" t="s">
        <v>23</v>
      </c>
    </row>
    <row r="733" spans="1:11" ht="42" customHeight="1">
      <c r="A733" s="2" t="s">
        <v>1944</v>
      </c>
      <c r="B733" s="2" t="s">
        <v>1945</v>
      </c>
      <c r="C733" s="2" t="s">
        <v>43</v>
      </c>
      <c r="D733" s="2" t="s">
        <v>44</v>
      </c>
      <c r="E733" s="5">
        <v>-30130</v>
      </c>
      <c r="F733" s="3" t="s">
        <v>768</v>
      </c>
      <c r="G733" s="3" t="s">
        <v>144</v>
      </c>
      <c r="H733" s="2" t="s">
        <v>21</v>
      </c>
      <c r="I733" s="2" t="s">
        <v>1946</v>
      </c>
      <c r="J733" s="3" t="str">
        <f>HYPERLINK("https://www.boe.es/gazeta/dias/1817/07/03/pdfs/GMD-1817-79.pdf#page=4","Abrir facsímil")</f>
        <v>Abrir facsímil</v>
      </c>
      <c r="K733" s="3" t="s">
        <v>23</v>
      </c>
    </row>
    <row r="734" spans="1:11" ht="42" customHeight="1">
      <c r="A734" s="2" t="s">
        <v>1947</v>
      </c>
      <c r="B734" s="2" t="s">
        <v>1948</v>
      </c>
      <c r="C734" s="2" t="s">
        <v>55</v>
      </c>
      <c r="D734" s="2" t="s">
        <v>44</v>
      </c>
      <c r="E734" s="5">
        <v>-30128</v>
      </c>
      <c r="F734" s="3" t="s">
        <v>761</v>
      </c>
      <c r="G734" s="3" t="s">
        <v>144</v>
      </c>
      <c r="H734" s="2" t="s">
        <v>21</v>
      </c>
      <c r="I734" s="2" t="s">
        <v>1949</v>
      </c>
      <c r="J734" s="3" t="str">
        <f>HYPERLINK("https://www.boe.es/gazeta/dias/1817/07/05/pdfs/GMD-1817-80.pdf#page=4","Abrir facsímil")</f>
        <v>Abrir facsímil</v>
      </c>
      <c r="K734" s="3" t="s">
        <v>23</v>
      </c>
    </row>
    <row r="735" spans="1:11" ht="42" customHeight="1">
      <c r="A735" s="2" t="s">
        <v>1950</v>
      </c>
      <c r="B735" s="2" t="s">
        <v>1951</v>
      </c>
      <c r="C735" s="2" t="s">
        <v>17</v>
      </c>
      <c r="D735" s="2" t="s">
        <v>18</v>
      </c>
      <c r="E735" s="5">
        <v>-30135</v>
      </c>
      <c r="F735" s="3" t="s">
        <v>239</v>
      </c>
      <c r="G735" s="3" t="s">
        <v>144</v>
      </c>
      <c r="H735" s="2" t="s">
        <v>21</v>
      </c>
      <c r="I735" s="2" t="s">
        <v>1952</v>
      </c>
      <c r="J735" s="3" t="str">
        <f>HYPERLINK("https://www.boe.es/gazeta/dias/1817/06/28/pdfs/GMD-1817-77.pdf#page=4","Abrir facsímil")</f>
        <v>Abrir facsímil</v>
      </c>
      <c r="K735" s="3" t="s">
        <v>23</v>
      </c>
    </row>
    <row r="736" spans="1:11" ht="42" customHeight="1">
      <c r="A736" s="2" t="s">
        <v>1953</v>
      </c>
      <c r="B736" s="2" t="s">
        <v>1954</v>
      </c>
      <c r="C736" s="2" t="s">
        <v>17</v>
      </c>
      <c r="D736" s="2" t="s">
        <v>18</v>
      </c>
      <c r="E736" s="5">
        <v>-30195</v>
      </c>
      <c r="F736" s="3" t="s">
        <v>1163</v>
      </c>
      <c r="G736" s="3" t="s">
        <v>144</v>
      </c>
      <c r="H736" s="2" t="s">
        <v>21</v>
      </c>
      <c r="I736" s="2" t="s">
        <v>1955</v>
      </c>
      <c r="J736" s="3" t="str">
        <f>HYPERLINK("https://www.boe.es/gazeta/dias/1817/04/29/pdfs/GMD-1817-51.pdf#page=4","Abrir facsímil")</f>
        <v>Abrir facsímil</v>
      </c>
      <c r="K736" s="3" t="s">
        <v>23</v>
      </c>
    </row>
    <row r="737" spans="1:11" ht="42" customHeight="1">
      <c r="A737" s="2" t="s">
        <v>1956</v>
      </c>
      <c r="B737" s="2" t="s">
        <v>1957</v>
      </c>
      <c r="C737" s="2" t="s">
        <v>36</v>
      </c>
      <c r="D737" s="2" t="s">
        <v>37</v>
      </c>
      <c r="E737" s="5">
        <v>-30191</v>
      </c>
      <c r="F737" s="3" t="s">
        <v>420</v>
      </c>
      <c r="G737" s="3" t="s">
        <v>421</v>
      </c>
      <c r="H737" s="2" t="s">
        <v>21</v>
      </c>
      <c r="I737" s="2" t="s">
        <v>1958</v>
      </c>
      <c r="J737" s="3" t="str">
        <f>HYPERLINK("https://www.boe.es/gazeta/dias/1817/05/03/pdfs/GMD-1817-53.pdf#page=8","Abrir facsímil")</f>
        <v>Abrir facsímil</v>
      </c>
      <c r="K737" s="3" t="s">
        <v>23</v>
      </c>
    </row>
    <row r="738" spans="1:11" ht="42" customHeight="1">
      <c r="A738" s="2" t="s">
        <v>1959</v>
      </c>
      <c r="B738" s="2" t="s">
        <v>1960</v>
      </c>
      <c r="C738" s="2" t="s">
        <v>43</v>
      </c>
      <c r="D738" s="2" t="s">
        <v>44</v>
      </c>
      <c r="E738" s="5">
        <v>-30303</v>
      </c>
      <c r="F738" s="3" t="s">
        <v>407</v>
      </c>
      <c r="G738" s="3" t="s">
        <v>39</v>
      </c>
      <c r="H738" s="2" t="s">
        <v>21</v>
      </c>
      <c r="I738" s="2" t="s">
        <v>1961</v>
      </c>
      <c r="J738" s="3" t="str">
        <f>HYPERLINK("https://www.boe.es/gazeta/dias/1817/01/11/pdfs/GMD-1817-5.pdf#page=5","Abrir facsímil")</f>
        <v>Abrir facsímil</v>
      </c>
      <c r="K738" s="3" t="s">
        <v>23</v>
      </c>
    </row>
    <row r="739" spans="1:11" ht="42" customHeight="1">
      <c r="A739" s="2" t="s">
        <v>1962</v>
      </c>
      <c r="B739" s="2" t="s">
        <v>1963</v>
      </c>
      <c r="C739" s="2" t="s">
        <v>49</v>
      </c>
      <c r="D739" s="2" t="s">
        <v>44</v>
      </c>
      <c r="E739" s="5">
        <v>-30027</v>
      </c>
      <c r="F739" s="3" t="s">
        <v>173</v>
      </c>
      <c r="G739" s="3" t="s">
        <v>77</v>
      </c>
      <c r="H739" s="2" t="s">
        <v>21</v>
      </c>
      <c r="I739" s="2" t="s">
        <v>1964</v>
      </c>
      <c r="J739" s="3" t="str">
        <f>HYPERLINK("https://www.boe.es/gazeta/dias/1817/10/14/pdfs/GMD-1817-123.pdf#page=8","Abrir facsímil")</f>
        <v>Abrir facsímil</v>
      </c>
      <c r="K739" s="3" t="s">
        <v>23</v>
      </c>
    </row>
    <row r="740" spans="1:11" ht="42" customHeight="1">
      <c r="A740" s="2" t="s">
        <v>1965</v>
      </c>
      <c r="B740" s="2" t="s">
        <v>1966</v>
      </c>
      <c r="C740" s="2" t="s">
        <v>36</v>
      </c>
      <c r="D740" s="2" t="s">
        <v>37</v>
      </c>
      <c r="E740" s="5">
        <v>-30097</v>
      </c>
      <c r="F740" s="3" t="s">
        <v>156</v>
      </c>
      <c r="G740" s="3" t="s">
        <v>1596</v>
      </c>
      <c r="H740" s="2" t="s">
        <v>21</v>
      </c>
      <c r="I740" s="2" t="s">
        <v>1967</v>
      </c>
      <c r="J740" s="3" t="str">
        <f>HYPERLINK("https://www.boe.es/gazeta/dias/1817/08/05/pdfs/GMD-1817-93.pdf#page=6","Abrir facsímil")</f>
        <v>Abrir facsímil</v>
      </c>
      <c r="K740" s="3" t="s">
        <v>23</v>
      </c>
    </row>
    <row r="741" spans="1:11" ht="42" customHeight="1">
      <c r="A741" s="2" t="s">
        <v>1968</v>
      </c>
      <c r="B741" s="2" t="s">
        <v>1969</v>
      </c>
      <c r="C741" s="2" t="s">
        <v>43</v>
      </c>
      <c r="D741" s="2" t="s">
        <v>44</v>
      </c>
      <c r="E741" s="5">
        <v>-30023</v>
      </c>
      <c r="F741" s="3" t="s">
        <v>460</v>
      </c>
      <c r="G741" s="3" t="s">
        <v>144</v>
      </c>
      <c r="H741" s="2" t="s">
        <v>21</v>
      </c>
      <c r="I741" s="2" t="s">
        <v>1970</v>
      </c>
      <c r="J741" s="3" t="str">
        <f>HYPERLINK("https://www.boe.es/gazeta/dias/1817/10/18/pdfs/GMD-1817-125.pdf#page=4","Abrir facsímil")</f>
        <v>Abrir facsímil</v>
      </c>
      <c r="K741" s="3" t="s">
        <v>23</v>
      </c>
    </row>
    <row r="742" spans="1:11" ht="42" customHeight="1">
      <c r="A742" s="2" t="s">
        <v>1971</v>
      </c>
      <c r="B742" s="2" t="s">
        <v>1972</v>
      </c>
      <c r="C742" s="2" t="s">
        <v>55</v>
      </c>
      <c r="D742" s="2" t="s">
        <v>44</v>
      </c>
      <c r="E742" s="5">
        <v>-30065</v>
      </c>
      <c r="F742" s="3" t="s">
        <v>201</v>
      </c>
      <c r="G742" s="3" t="s">
        <v>57</v>
      </c>
      <c r="H742" s="2" t="s">
        <v>21</v>
      </c>
      <c r="I742" s="2" t="s">
        <v>1973</v>
      </c>
      <c r="J742" s="3" t="str">
        <f>HYPERLINK("https://www.boe.es/gazeta/dias/1817/09/06/pdfs/GMD-1817-107.pdf#page=6","Abrir facsímil")</f>
        <v>Abrir facsímil</v>
      </c>
      <c r="K742" s="3" t="s">
        <v>23</v>
      </c>
    </row>
    <row r="743" spans="1:11" ht="42" customHeight="1">
      <c r="A743" s="2" t="s">
        <v>1974</v>
      </c>
      <c r="B743" s="2" t="s">
        <v>1975</v>
      </c>
      <c r="C743" s="2" t="s">
        <v>43</v>
      </c>
      <c r="D743" s="2" t="s">
        <v>44</v>
      </c>
      <c r="E743" s="5">
        <v>-30307</v>
      </c>
      <c r="F743" s="3" t="s">
        <v>67</v>
      </c>
      <c r="G743" s="3" t="s">
        <v>68</v>
      </c>
      <c r="H743" s="2" t="s">
        <v>27</v>
      </c>
      <c r="I743" s="2" t="s">
        <v>1976</v>
      </c>
      <c r="J743" s="3" t="str">
        <f>HYPERLINK("https://www.boe.es/gazeta/dias/1817/01/07/pdfs/GMD-1817-3.pdf#page=8","Abrir facsímil")</f>
        <v>Abrir facsímil</v>
      </c>
      <c r="K743" s="3" t="s">
        <v>29</v>
      </c>
    </row>
    <row r="744" spans="1:11" ht="42" customHeight="1">
      <c r="A744" s="2" t="s">
        <v>1977</v>
      </c>
      <c r="B744" s="2" t="s">
        <v>1978</v>
      </c>
      <c r="C744" s="2" t="s">
        <v>36</v>
      </c>
      <c r="D744" s="2" t="s">
        <v>37</v>
      </c>
      <c r="E744" s="5">
        <v>-30065</v>
      </c>
      <c r="F744" s="3" t="s">
        <v>201</v>
      </c>
      <c r="G744" s="3" t="s">
        <v>20</v>
      </c>
      <c r="H744" s="2" t="s">
        <v>21</v>
      </c>
      <c r="I744" s="2" t="s">
        <v>1979</v>
      </c>
      <c r="J744" s="3" t="str">
        <f>HYPERLINK("https://www.boe.es/gazeta/dias/1817/09/06/pdfs/GMD-1817-107.pdf#page=7","Abrir facsímil")</f>
        <v>Abrir facsímil</v>
      </c>
      <c r="K744" s="3" t="s">
        <v>23</v>
      </c>
    </row>
    <row r="745" spans="1:11" ht="42" customHeight="1">
      <c r="A745" s="2" t="s">
        <v>1980</v>
      </c>
      <c r="B745" s="2" t="s">
        <v>1981</v>
      </c>
      <c r="C745" s="2" t="s">
        <v>36</v>
      </c>
      <c r="D745" s="2" t="s">
        <v>37</v>
      </c>
      <c r="E745" s="5">
        <v>-30060</v>
      </c>
      <c r="F745" s="3" t="s">
        <v>446</v>
      </c>
      <c r="G745" s="3" t="s">
        <v>20</v>
      </c>
      <c r="H745" s="2" t="s">
        <v>21</v>
      </c>
      <c r="I745" s="2" t="s">
        <v>1982</v>
      </c>
      <c r="J745" s="3" t="str">
        <f>HYPERLINK("https://www.boe.es/gazeta/dias/1817/09/11/pdfs/GMD-1817-109.pdf#page=7","Abrir facsímil")</f>
        <v>Abrir facsímil</v>
      </c>
      <c r="K745" s="3" t="s">
        <v>23</v>
      </c>
    </row>
    <row r="746" spans="1:11" ht="42" customHeight="1">
      <c r="A746" s="2" t="s">
        <v>1983</v>
      </c>
      <c r="B746" s="2" t="s">
        <v>1984</v>
      </c>
      <c r="C746" s="2" t="s">
        <v>17</v>
      </c>
      <c r="D746" s="2" t="s">
        <v>18</v>
      </c>
      <c r="E746" s="5">
        <v>-30270</v>
      </c>
      <c r="F746" s="3" t="s">
        <v>341</v>
      </c>
      <c r="G746" s="3" t="s">
        <v>144</v>
      </c>
      <c r="H746" s="2" t="s">
        <v>21</v>
      </c>
      <c r="I746" s="2" t="s">
        <v>1985</v>
      </c>
      <c r="J746" s="3" t="str">
        <f>HYPERLINK("https://www.boe.es/gazeta/dias/1817/02/13/pdfs/GMD-1817-19.pdf#page=4","Abrir facsímil")</f>
        <v>Abrir facsímil</v>
      </c>
      <c r="K746" s="3" t="s">
        <v>23</v>
      </c>
    </row>
    <row r="747" spans="1:11" ht="42" customHeight="1">
      <c r="A747" s="2" t="s">
        <v>1986</v>
      </c>
      <c r="B747" s="2" t="s">
        <v>1987</v>
      </c>
      <c r="C747" s="2" t="s">
        <v>17</v>
      </c>
      <c r="D747" s="2" t="s">
        <v>18</v>
      </c>
      <c r="E747" s="5">
        <v>-30149</v>
      </c>
      <c r="F747" s="3" t="s">
        <v>430</v>
      </c>
      <c r="G747" s="3" t="s">
        <v>77</v>
      </c>
      <c r="H747" s="2" t="s">
        <v>21</v>
      </c>
      <c r="I747" s="2" t="s">
        <v>1988</v>
      </c>
      <c r="J747" s="3" t="str">
        <f>HYPERLINK("https://www.boe.es/gazeta/dias/1817/06/14/pdfs/GMD-1817-71.pdf#page=8","Abrir facsímil")</f>
        <v>Abrir facsímil</v>
      </c>
      <c r="K747" s="3" t="s">
        <v>23</v>
      </c>
    </row>
    <row r="748" spans="1:11" ht="42" customHeight="1">
      <c r="A748" s="2" t="s">
        <v>1989</v>
      </c>
      <c r="B748" s="2" t="s">
        <v>1990</v>
      </c>
      <c r="C748" s="2" t="s">
        <v>43</v>
      </c>
      <c r="D748" s="2" t="s">
        <v>44</v>
      </c>
      <c r="E748" s="5">
        <v>-30286</v>
      </c>
      <c r="F748" s="3" t="s">
        <v>354</v>
      </c>
      <c r="G748" s="3" t="s">
        <v>1580</v>
      </c>
      <c r="H748" s="2" t="s">
        <v>27</v>
      </c>
      <c r="I748" s="2" t="s">
        <v>1991</v>
      </c>
      <c r="J748" s="3" t="str">
        <f>HYPERLINK("https://www.boe.es/gazeta/dias/1817/01/28/pdfs/GMD-1817-12.pdf#page=5","Abrir facsímil")</f>
        <v>Abrir facsímil</v>
      </c>
      <c r="K748" s="3" t="s">
        <v>29</v>
      </c>
    </row>
    <row r="749" spans="1:11" ht="42" customHeight="1">
      <c r="A749" s="2" t="s">
        <v>1992</v>
      </c>
      <c r="B749" s="2" t="s">
        <v>1993</v>
      </c>
      <c r="C749" s="2" t="s">
        <v>36</v>
      </c>
      <c r="D749" s="2" t="s">
        <v>37</v>
      </c>
      <c r="E749" s="5">
        <v>-30109</v>
      </c>
      <c r="F749" s="3" t="s">
        <v>205</v>
      </c>
      <c r="G749" s="3" t="s">
        <v>282</v>
      </c>
      <c r="H749" s="2" t="s">
        <v>21</v>
      </c>
      <c r="I749" s="2" t="s">
        <v>1994</v>
      </c>
      <c r="J749" s="3" t="str">
        <f>HYPERLINK("https://www.boe.es/gazeta/dias/1817/07/24/pdfs/GMD-1817-88.pdf#page=15","Abrir facsímil")</f>
        <v>Abrir facsímil</v>
      </c>
      <c r="K749" s="3" t="s">
        <v>23</v>
      </c>
    </row>
    <row r="750" spans="1:11" ht="42" customHeight="1">
      <c r="A750" s="2" t="s">
        <v>1995</v>
      </c>
      <c r="B750" s="2" t="s">
        <v>1996</v>
      </c>
      <c r="C750" s="2" t="s">
        <v>36</v>
      </c>
      <c r="D750" s="2" t="s">
        <v>37</v>
      </c>
      <c r="E750" s="5">
        <v>-30025</v>
      </c>
      <c r="F750" s="3" t="s">
        <v>458</v>
      </c>
      <c r="G750" s="3" t="s">
        <v>39</v>
      </c>
      <c r="H750" s="2" t="s">
        <v>21</v>
      </c>
      <c r="I750" s="2" t="s">
        <v>1997</v>
      </c>
      <c r="J750" s="3" t="str">
        <f>HYPERLINK("https://www.boe.es/gazeta/dias/1817/10/16/pdfs/GMD-1817-124.pdf#page=5","Abrir facsímil")</f>
        <v>Abrir facsímil</v>
      </c>
      <c r="K750" s="3" t="s">
        <v>23</v>
      </c>
    </row>
    <row r="751" spans="1:11" ht="42" customHeight="1">
      <c r="A751" s="2" t="s">
        <v>1998</v>
      </c>
      <c r="B751" s="2" t="s">
        <v>1999</v>
      </c>
      <c r="C751" s="2" t="s">
        <v>55</v>
      </c>
      <c r="D751" s="2" t="s">
        <v>44</v>
      </c>
      <c r="E751" s="5">
        <v>-30114</v>
      </c>
      <c r="F751" s="3" t="s">
        <v>500</v>
      </c>
      <c r="G751" s="3" t="s">
        <v>915</v>
      </c>
      <c r="H751" s="2" t="s">
        <v>27</v>
      </c>
      <c r="I751" s="2" t="s">
        <v>2000</v>
      </c>
      <c r="J751" s="3" t="str">
        <f>HYPERLINK("https://www.boe.es/gazeta/dias/1817/07/19/pdfs/GMD-1817-86.pdf#page=6","Abrir facsímil")</f>
        <v>Abrir facsímil</v>
      </c>
      <c r="K751" s="3" t="s">
        <v>29</v>
      </c>
    </row>
    <row r="752" spans="1:11" ht="42" customHeight="1">
      <c r="A752" s="2" t="s">
        <v>2001</v>
      </c>
      <c r="B752" s="2" t="s">
        <v>2002</v>
      </c>
      <c r="C752" s="2" t="s">
        <v>17</v>
      </c>
      <c r="D752" s="2" t="s">
        <v>18</v>
      </c>
      <c r="E752" s="5">
        <v>-30186</v>
      </c>
      <c r="F752" s="3" t="s">
        <v>2003</v>
      </c>
      <c r="G752" s="3" t="s">
        <v>77</v>
      </c>
      <c r="H752" s="2" t="s">
        <v>21</v>
      </c>
      <c r="I752" s="2" t="s">
        <v>2004</v>
      </c>
      <c r="J752" s="3" t="str">
        <f>HYPERLINK("https://www.boe.es/gazeta/dias/1817/05/08/pdfs/GMD-1817-55.pdf#page=8","Abrir facsímil")</f>
        <v>Abrir facsímil</v>
      </c>
      <c r="K752" s="3" t="s">
        <v>23</v>
      </c>
    </row>
    <row r="753" spans="1:11" ht="42" customHeight="1">
      <c r="A753" s="2" t="s">
        <v>2005</v>
      </c>
      <c r="B753" s="2" t="s">
        <v>2006</v>
      </c>
      <c r="C753" s="2" t="s">
        <v>138</v>
      </c>
      <c r="D753" s="2" t="s">
        <v>44</v>
      </c>
      <c r="E753" s="5">
        <v>-30004</v>
      </c>
      <c r="F753" s="3" t="s">
        <v>329</v>
      </c>
      <c r="G753" s="3" t="s">
        <v>77</v>
      </c>
      <c r="H753" s="2" t="s">
        <v>27</v>
      </c>
      <c r="I753" s="2" t="s">
        <v>2007</v>
      </c>
      <c r="J753" s="3" t="str">
        <f>HYPERLINK("https://www.boe.es/gazeta/dias/1817/11/06/pdfs/GMD-1817-133.pdf#page=8","Abrir facsímil")</f>
        <v>Abrir facsímil</v>
      </c>
      <c r="K753" s="3" t="s">
        <v>29</v>
      </c>
    </row>
    <row r="754" spans="1:11" ht="42" customHeight="1">
      <c r="A754" s="2" t="s">
        <v>2008</v>
      </c>
      <c r="B754" s="2" t="s">
        <v>2009</v>
      </c>
      <c r="C754" s="2" t="s">
        <v>43</v>
      </c>
      <c r="D754" s="2" t="s">
        <v>44</v>
      </c>
      <c r="E754" s="5">
        <v>-30013</v>
      </c>
      <c r="F754" s="3" t="s">
        <v>464</v>
      </c>
      <c r="G754" s="3" t="s">
        <v>39</v>
      </c>
      <c r="H754" s="2" t="s">
        <v>21</v>
      </c>
      <c r="I754" s="2" t="s">
        <v>2010</v>
      </c>
      <c r="J754" s="3" t="str">
        <f>HYPERLINK("https://www.boe.es/gazeta/dias/1817/10/28/pdfs/GMD-1817-129.pdf#page=5","Abrir facsímil")</f>
        <v>Abrir facsímil</v>
      </c>
      <c r="K754" s="3" t="s">
        <v>23</v>
      </c>
    </row>
    <row r="755" spans="1:11" ht="42" customHeight="1">
      <c r="A755" s="2" t="s">
        <v>2011</v>
      </c>
      <c r="B755" s="2" t="s">
        <v>2012</v>
      </c>
      <c r="C755" s="2" t="s">
        <v>43</v>
      </c>
      <c r="D755" s="2" t="s">
        <v>44</v>
      </c>
      <c r="E755" s="5">
        <v>-30013</v>
      </c>
      <c r="F755" s="3" t="s">
        <v>464</v>
      </c>
      <c r="G755" s="3" t="s">
        <v>39</v>
      </c>
      <c r="H755" s="2" t="s">
        <v>21</v>
      </c>
      <c r="I755" s="2" t="s">
        <v>2013</v>
      </c>
      <c r="J755" s="3" t="str">
        <f>HYPERLINK("https://www.boe.es/gazeta/dias/1817/10/28/pdfs/GMD-1817-129.pdf#page=5","Abrir facsímil")</f>
        <v>Abrir facsímil</v>
      </c>
      <c r="K755" s="3" t="s">
        <v>23</v>
      </c>
    </row>
    <row r="756" spans="1:11" ht="42" customHeight="1">
      <c r="A756" s="2" t="s">
        <v>2014</v>
      </c>
      <c r="B756" s="2" t="s">
        <v>2015</v>
      </c>
      <c r="C756" s="2" t="s">
        <v>36</v>
      </c>
      <c r="D756" s="2" t="s">
        <v>37</v>
      </c>
      <c r="E756" s="5">
        <v>-30307</v>
      </c>
      <c r="F756" s="3" t="s">
        <v>67</v>
      </c>
      <c r="G756" s="3" t="s">
        <v>739</v>
      </c>
      <c r="H756" s="2" t="s">
        <v>27</v>
      </c>
      <c r="I756" s="2" t="s">
        <v>2016</v>
      </c>
      <c r="J756" s="3" t="str">
        <f>HYPERLINK("https://www.boe.es/gazeta/dias/1817/01/07/pdfs/GMD-1817-3.pdf#page=6","Abrir facsímil")</f>
        <v>Abrir facsímil</v>
      </c>
      <c r="K756" s="3" t="s">
        <v>29</v>
      </c>
    </row>
    <row r="757" spans="1:11" ht="42" customHeight="1">
      <c r="A757" s="2" t="s">
        <v>2017</v>
      </c>
      <c r="B757" s="2" t="s">
        <v>2018</v>
      </c>
      <c r="C757" s="2" t="s">
        <v>43</v>
      </c>
      <c r="D757" s="2" t="s">
        <v>44</v>
      </c>
      <c r="E757" s="5">
        <v>-29983</v>
      </c>
      <c r="F757" s="3" t="s">
        <v>148</v>
      </c>
      <c r="G757" s="3" t="s">
        <v>654</v>
      </c>
      <c r="H757" s="2" t="s">
        <v>21</v>
      </c>
      <c r="I757" s="2" t="s">
        <v>2019</v>
      </c>
      <c r="J757" s="3" t="str">
        <f>HYPERLINK("https://www.boe.es/gazeta/dias/1817/11/27/pdfs/GMD-1817-142.pdf#page=4","Abrir facsímil")</f>
        <v>Abrir facsímil</v>
      </c>
      <c r="K757" s="3" t="s">
        <v>23</v>
      </c>
    </row>
    <row r="758" spans="1:11" ht="42" customHeight="1">
      <c r="A758" s="2" t="s">
        <v>2020</v>
      </c>
      <c r="B758" s="2" t="s">
        <v>2021</v>
      </c>
      <c r="C758" s="2" t="s">
        <v>36</v>
      </c>
      <c r="D758" s="2" t="s">
        <v>37</v>
      </c>
      <c r="E758" s="5">
        <v>-29983</v>
      </c>
      <c r="F758" s="3" t="s">
        <v>148</v>
      </c>
      <c r="G758" s="3" t="s">
        <v>57</v>
      </c>
      <c r="H758" s="2" t="s">
        <v>21</v>
      </c>
      <c r="I758" s="2" t="s">
        <v>2022</v>
      </c>
      <c r="J758" s="3" t="str">
        <f>HYPERLINK("https://www.boe.es/gazeta/dias/1817/11/27/pdfs/GMD-1817-142.pdf#page=6","Abrir facsímil")</f>
        <v>Abrir facsímil</v>
      </c>
      <c r="K758" s="3" t="s">
        <v>23</v>
      </c>
    </row>
    <row r="759" spans="1:11" ht="42" customHeight="1">
      <c r="A759" s="2" t="s">
        <v>2023</v>
      </c>
      <c r="B759" s="2" t="s">
        <v>2024</v>
      </c>
      <c r="C759" s="2" t="s">
        <v>36</v>
      </c>
      <c r="D759" s="2" t="s">
        <v>37</v>
      </c>
      <c r="E759" s="5">
        <v>-30076</v>
      </c>
      <c r="F759" s="3" t="s">
        <v>439</v>
      </c>
      <c r="G759" s="3" t="s">
        <v>77</v>
      </c>
      <c r="H759" s="2" t="s">
        <v>21</v>
      </c>
      <c r="I759" s="2" t="s">
        <v>2025</v>
      </c>
      <c r="J759" s="3" t="str">
        <f>HYPERLINK("https://www.boe.es/gazeta/dias/1817/08/26/pdfs/GMD-1817-102.pdf#page=8","Abrir facsímil")</f>
        <v>Abrir facsímil</v>
      </c>
      <c r="K759" s="3" t="s">
        <v>23</v>
      </c>
    </row>
    <row r="760" spans="1:11" ht="42" customHeight="1">
      <c r="A760" s="2" t="s">
        <v>2026</v>
      </c>
      <c r="B760" s="2" t="s">
        <v>2027</v>
      </c>
      <c r="C760" s="2" t="s">
        <v>43</v>
      </c>
      <c r="D760" s="2" t="s">
        <v>44</v>
      </c>
      <c r="E760" s="5">
        <v>-30128</v>
      </c>
      <c r="F760" s="3" t="s">
        <v>761</v>
      </c>
      <c r="G760" s="3" t="s">
        <v>144</v>
      </c>
      <c r="H760" s="2" t="s">
        <v>21</v>
      </c>
      <c r="I760" s="2" t="s">
        <v>2028</v>
      </c>
      <c r="J760" s="3" t="str">
        <f>HYPERLINK("https://www.boe.es/gazeta/dias/1817/07/05/pdfs/GMD-1817-80.pdf#page=4","Abrir facsímil")</f>
        <v>Abrir facsímil</v>
      </c>
      <c r="K760" s="3" t="s">
        <v>23</v>
      </c>
    </row>
    <row r="761" spans="1:11" ht="42" customHeight="1">
      <c r="A761" s="2" t="s">
        <v>2029</v>
      </c>
      <c r="B761" s="2" t="s">
        <v>2030</v>
      </c>
      <c r="C761" s="2" t="s">
        <v>36</v>
      </c>
      <c r="D761" s="2" t="s">
        <v>37</v>
      </c>
      <c r="E761" s="5">
        <v>-30139</v>
      </c>
      <c r="F761" s="3" t="s">
        <v>993</v>
      </c>
      <c r="G761" s="3" t="s">
        <v>77</v>
      </c>
      <c r="H761" s="2" t="s">
        <v>27</v>
      </c>
      <c r="I761" s="2" t="s">
        <v>2031</v>
      </c>
      <c r="J761" s="3" t="str">
        <f>HYPERLINK("https://www.boe.es/gazeta/dias/1817/06/24/pdfs/GMD-1817-75.pdf#page=8","Abrir facsímil")</f>
        <v>Abrir facsímil</v>
      </c>
      <c r="K761" s="3" t="s">
        <v>29</v>
      </c>
    </row>
    <row r="762" spans="1:11" ht="42" customHeight="1">
      <c r="A762" s="2" t="s">
        <v>2032</v>
      </c>
      <c r="B762" s="2" t="s">
        <v>2033</v>
      </c>
      <c r="C762" s="2" t="s">
        <v>49</v>
      </c>
      <c r="D762" s="2" t="s">
        <v>44</v>
      </c>
      <c r="E762" s="5">
        <v>-30058</v>
      </c>
      <c r="F762" s="3" t="s">
        <v>1385</v>
      </c>
      <c r="G762" s="3" t="s">
        <v>57</v>
      </c>
      <c r="H762" s="2" t="s">
        <v>21</v>
      </c>
      <c r="I762" s="2" t="s">
        <v>2034</v>
      </c>
      <c r="J762" s="3" t="str">
        <f>HYPERLINK("https://www.boe.es/gazeta/dias/1817/09/13/pdfs/GMD-1817-110.pdf#page=6","Abrir facsímil")</f>
        <v>Abrir facsímil</v>
      </c>
      <c r="K762" s="3" t="s">
        <v>23</v>
      </c>
    </row>
    <row r="763" spans="1:11" ht="42" customHeight="1">
      <c r="A763" s="2" t="s">
        <v>2035</v>
      </c>
      <c r="B763" s="2" t="s">
        <v>2036</v>
      </c>
      <c r="C763" s="2" t="s">
        <v>55</v>
      </c>
      <c r="D763" s="2" t="s">
        <v>44</v>
      </c>
      <c r="E763" s="5">
        <v>-30254</v>
      </c>
      <c r="F763" s="3" t="s">
        <v>124</v>
      </c>
      <c r="G763" s="3" t="s">
        <v>125</v>
      </c>
      <c r="H763" s="2" t="s">
        <v>21</v>
      </c>
      <c r="I763" s="2" t="s">
        <v>2037</v>
      </c>
      <c r="J763" s="3" t="str">
        <f>HYPERLINK("https://www.boe.es/gazeta/dias/1817/03/01/pdfs/GMD-1817-26.pdf#page=5","Abrir facsímil")</f>
        <v>Abrir facsímil</v>
      </c>
      <c r="K763" s="3" t="s">
        <v>23</v>
      </c>
    </row>
    <row r="764" spans="1:11" ht="42" customHeight="1">
      <c r="A764" s="2" t="s">
        <v>2038</v>
      </c>
      <c r="B764" s="2" t="s">
        <v>2039</v>
      </c>
      <c r="C764" s="2" t="s">
        <v>17</v>
      </c>
      <c r="D764" s="2" t="s">
        <v>18</v>
      </c>
      <c r="E764" s="5">
        <v>-30165</v>
      </c>
      <c r="F764" s="3" t="s">
        <v>2040</v>
      </c>
      <c r="G764" s="3" t="s">
        <v>77</v>
      </c>
      <c r="H764" s="2" t="s">
        <v>27</v>
      </c>
      <c r="I764" s="2" t="s">
        <v>2041</v>
      </c>
      <c r="J764" s="3" t="str">
        <f>HYPERLINK("https://www.boe.es/gazeta/dias/1817/05/29/pdfs/GMD-1817-64.pdf#page=8","Abrir facsímil")</f>
        <v>Abrir facsímil</v>
      </c>
      <c r="K764" s="3" t="s">
        <v>29</v>
      </c>
    </row>
    <row r="765" spans="1:11" ht="42" customHeight="1">
      <c r="A765" s="2" t="s">
        <v>2042</v>
      </c>
      <c r="B765" s="2" t="s">
        <v>2043</v>
      </c>
      <c r="C765" s="2" t="s">
        <v>55</v>
      </c>
      <c r="D765" s="2" t="s">
        <v>44</v>
      </c>
      <c r="E765" s="5">
        <v>-30221</v>
      </c>
      <c r="F765" s="3" t="s">
        <v>256</v>
      </c>
      <c r="G765" s="3" t="s">
        <v>77</v>
      </c>
      <c r="H765" s="2" t="s">
        <v>27</v>
      </c>
      <c r="I765" s="2" t="s">
        <v>2044</v>
      </c>
      <c r="J765" s="3" t="str">
        <f>HYPERLINK("https://www.boe.es/gazeta/dias/1817/04/03/pdfs/GMD-1817-40.pdf#page=8","Abrir facsímil")</f>
        <v>Abrir facsímil</v>
      </c>
      <c r="K765" s="3" t="s">
        <v>29</v>
      </c>
    </row>
    <row r="766" spans="1:11" ht="42" customHeight="1">
      <c r="A766" s="2" t="s">
        <v>2045</v>
      </c>
      <c r="B766" s="2" t="s">
        <v>2046</v>
      </c>
      <c r="C766" s="2" t="s">
        <v>97</v>
      </c>
      <c r="D766" s="2" t="s">
        <v>44</v>
      </c>
      <c r="E766" s="5">
        <v>-30293</v>
      </c>
      <c r="F766" s="3" t="s">
        <v>143</v>
      </c>
      <c r="G766" s="3" t="s">
        <v>20</v>
      </c>
      <c r="H766" s="2" t="s">
        <v>21</v>
      </c>
      <c r="I766" s="2" t="s">
        <v>2047</v>
      </c>
      <c r="J766" s="3" t="str">
        <f>HYPERLINK("https://www.boe.es/gazeta/dias/1817/01/21/pdfs/GMD-1817-9.pdf#page=7","Abrir facsímil")</f>
        <v>Abrir facsímil</v>
      </c>
      <c r="K766" s="3" t="s">
        <v>23</v>
      </c>
    </row>
    <row r="767" spans="1:11" ht="42" customHeight="1">
      <c r="A767" s="2" t="s">
        <v>2048</v>
      </c>
      <c r="B767" s="2" t="s">
        <v>2049</v>
      </c>
      <c r="C767" s="2" t="s">
        <v>36</v>
      </c>
      <c r="D767" s="2" t="s">
        <v>37</v>
      </c>
      <c r="E767" s="5">
        <v>-30188</v>
      </c>
      <c r="F767" s="3" t="s">
        <v>177</v>
      </c>
      <c r="G767" s="3" t="s">
        <v>77</v>
      </c>
      <c r="H767" s="2" t="s">
        <v>27</v>
      </c>
      <c r="I767" s="2" t="s">
        <v>2050</v>
      </c>
      <c r="J767" s="3" t="str">
        <f>HYPERLINK("https://www.boe.es/gazeta/dias/1817/05/06/pdfs/GMD-1817-54.pdf#page=8","Abrir facsímil")</f>
        <v>Abrir facsímil</v>
      </c>
      <c r="K767" s="3" t="s">
        <v>29</v>
      </c>
    </row>
    <row r="768" spans="1:11" ht="42" customHeight="1">
      <c r="A768" s="2" t="s">
        <v>2051</v>
      </c>
      <c r="B768" s="2" t="s">
        <v>2052</v>
      </c>
      <c r="C768" s="2" t="s">
        <v>17</v>
      </c>
      <c r="D768" s="2" t="s">
        <v>18</v>
      </c>
      <c r="E768" s="5">
        <v>-29950</v>
      </c>
      <c r="F768" s="3" t="s">
        <v>185</v>
      </c>
      <c r="G768" s="3" t="s">
        <v>57</v>
      </c>
      <c r="H768" s="2" t="s">
        <v>21</v>
      </c>
      <c r="I768" s="2" t="s">
        <v>2053</v>
      </c>
      <c r="J768" s="3" t="str">
        <f>HYPERLINK("https://www.boe.es/gazeta/dias/1817/12/30/pdfs/GMD-1817-156.pdf#page=6","Abrir facsímil")</f>
        <v>Abrir facsímil</v>
      </c>
      <c r="K768" s="3" t="s">
        <v>23</v>
      </c>
    </row>
    <row r="769" spans="1:11" ht="42" customHeight="1">
      <c r="A769" s="2" t="s">
        <v>2054</v>
      </c>
      <c r="B769" s="2" t="s">
        <v>2055</v>
      </c>
      <c r="C769" s="2" t="s">
        <v>43</v>
      </c>
      <c r="D769" s="2" t="s">
        <v>44</v>
      </c>
      <c r="E769" s="5">
        <v>-30286</v>
      </c>
      <c r="F769" s="3" t="s">
        <v>354</v>
      </c>
      <c r="G769" s="3" t="s">
        <v>1580</v>
      </c>
      <c r="H769" s="2" t="s">
        <v>21</v>
      </c>
      <c r="I769" s="2" t="s">
        <v>2056</v>
      </c>
      <c r="J769" s="3" t="str">
        <f>HYPERLINK("https://www.boe.es/gazeta/dias/1817/01/28/pdfs/GMD-1817-12.pdf#page=5","Abrir facsímil")</f>
        <v>Abrir facsímil</v>
      </c>
      <c r="K769" s="3" t="s">
        <v>23</v>
      </c>
    </row>
    <row r="770" spans="1:11" ht="42" customHeight="1">
      <c r="A770" s="2" t="s">
        <v>2057</v>
      </c>
      <c r="B770" s="2" t="s">
        <v>2058</v>
      </c>
      <c r="C770" s="2" t="s">
        <v>36</v>
      </c>
      <c r="D770" s="2" t="s">
        <v>37</v>
      </c>
      <c r="E770" s="5">
        <v>-30062</v>
      </c>
      <c r="F770" s="3" t="s">
        <v>444</v>
      </c>
      <c r="G770" s="3" t="s">
        <v>691</v>
      </c>
      <c r="H770" s="2" t="s">
        <v>21</v>
      </c>
      <c r="I770" s="2" t="s">
        <v>2059</v>
      </c>
      <c r="J770" s="3" t="str">
        <f>HYPERLINK("https://www.boe.es/gazeta/dias/1817/09/09/pdfs/GMD-1817-108.pdf#page=8","Abrir facsímil")</f>
        <v>Abrir facsímil</v>
      </c>
      <c r="K770" s="3" t="s">
        <v>23</v>
      </c>
    </row>
    <row r="771" spans="1:11" ht="42" customHeight="1">
      <c r="A771" s="2" t="s">
        <v>2060</v>
      </c>
      <c r="B771" s="2" t="s">
        <v>2061</v>
      </c>
      <c r="C771" s="2" t="s">
        <v>43</v>
      </c>
      <c r="D771" s="2" t="s">
        <v>44</v>
      </c>
      <c r="E771" s="5">
        <v>-30289</v>
      </c>
      <c r="F771" s="3" t="s">
        <v>193</v>
      </c>
      <c r="G771" s="3" t="s">
        <v>144</v>
      </c>
      <c r="H771" s="2" t="s">
        <v>21</v>
      </c>
      <c r="I771" s="2" t="s">
        <v>2062</v>
      </c>
      <c r="J771" s="3" t="str">
        <f>HYPERLINK("https://www.boe.es/gazeta/dias/1817/01/25/pdfs/GMD-1817-11.pdf#page=4","Abrir facsímil")</f>
        <v>Abrir facsímil</v>
      </c>
      <c r="K771" s="3" t="s">
        <v>23</v>
      </c>
    </row>
    <row r="772" spans="1:11" ht="42" customHeight="1">
      <c r="A772" s="2" t="s">
        <v>2060</v>
      </c>
      <c r="B772" s="2" t="s">
        <v>2061</v>
      </c>
      <c r="C772" s="2" t="s">
        <v>36</v>
      </c>
      <c r="D772" s="2" t="s">
        <v>37</v>
      </c>
      <c r="E772" s="5">
        <v>-30284</v>
      </c>
      <c r="F772" s="3" t="s">
        <v>741</v>
      </c>
      <c r="G772" s="3" t="s">
        <v>742</v>
      </c>
      <c r="H772" s="2" t="s">
        <v>21</v>
      </c>
      <c r="I772" s="2" t="s">
        <v>2063</v>
      </c>
      <c r="J772" s="3" t="str">
        <f>HYPERLINK("https://www.boe.es/gazeta/dias/1817/01/30/pdfs/GMD-1817-13.pdf#page=4","Abrir facsímil")</f>
        <v>Abrir facsímil</v>
      </c>
      <c r="K772" s="3" t="s">
        <v>23</v>
      </c>
    </row>
    <row r="773" spans="1:11" ht="42" customHeight="1">
      <c r="A773" s="2" t="s">
        <v>2064</v>
      </c>
      <c r="B773" s="2" t="s">
        <v>2065</v>
      </c>
      <c r="C773" s="2" t="s">
        <v>97</v>
      </c>
      <c r="D773" s="2" t="s">
        <v>44</v>
      </c>
      <c r="E773" s="5">
        <v>-30167</v>
      </c>
      <c r="F773" s="3" t="s">
        <v>153</v>
      </c>
      <c r="G773" s="3" t="s">
        <v>20</v>
      </c>
      <c r="H773" s="2" t="s">
        <v>21</v>
      </c>
      <c r="I773" s="2" t="s">
        <v>2066</v>
      </c>
      <c r="J773" s="3" t="str">
        <f>HYPERLINK("https://www.boe.es/gazeta/dias/1817/05/27/pdfs/GMD-1817-63.pdf#page=7","Abrir facsímil")</f>
        <v>Abrir facsímil</v>
      </c>
      <c r="K773" s="3" t="s">
        <v>23</v>
      </c>
    </row>
    <row r="774" spans="1:11" ht="42" customHeight="1">
      <c r="A774" s="2" t="s">
        <v>2067</v>
      </c>
      <c r="B774" s="2" t="s">
        <v>2067</v>
      </c>
      <c r="C774" s="2" t="s">
        <v>36</v>
      </c>
      <c r="D774" s="2" t="s">
        <v>37</v>
      </c>
      <c r="E774" s="5">
        <v>-29981</v>
      </c>
      <c r="F774" s="3" t="s">
        <v>111</v>
      </c>
      <c r="G774" s="3" t="s">
        <v>144</v>
      </c>
      <c r="H774" s="2" t="s">
        <v>21</v>
      </c>
      <c r="I774" s="2" t="s">
        <v>2068</v>
      </c>
      <c r="J774" s="3" t="str">
        <f>HYPERLINK("https://www.boe.es/gazeta/dias/1817/11/29/pdfs/GMD-1817-143.pdf#page=4","Abrir facsímil")</f>
        <v>Abrir facsímil</v>
      </c>
      <c r="K774" s="3" t="s">
        <v>23</v>
      </c>
    </row>
    <row r="775" spans="1:11" ht="42" customHeight="1">
      <c r="A775" s="2" t="s">
        <v>2069</v>
      </c>
      <c r="B775" s="2" t="s">
        <v>2070</v>
      </c>
      <c r="C775" s="2" t="s">
        <v>36</v>
      </c>
      <c r="D775" s="2" t="s">
        <v>37</v>
      </c>
      <c r="E775" s="5">
        <v>-29981</v>
      </c>
      <c r="F775" s="3" t="s">
        <v>111</v>
      </c>
      <c r="G775" s="3" t="s">
        <v>144</v>
      </c>
      <c r="H775" s="2" t="s">
        <v>21</v>
      </c>
      <c r="I775" s="2" t="s">
        <v>2071</v>
      </c>
      <c r="J775" s="3" t="str">
        <f>HYPERLINK("https://www.boe.es/gazeta/dias/1817/11/29/pdfs/GMD-1817-143.pdf#page=4","Abrir facsímil")</f>
        <v>Abrir facsímil</v>
      </c>
      <c r="K775" s="3" t="s">
        <v>23</v>
      </c>
    </row>
    <row r="776" spans="1:11" ht="42" customHeight="1">
      <c r="A776" s="2" t="s">
        <v>2072</v>
      </c>
      <c r="B776" s="2" t="s">
        <v>2073</v>
      </c>
      <c r="C776" s="2" t="s">
        <v>1325</v>
      </c>
      <c r="D776" s="2" t="s">
        <v>18</v>
      </c>
      <c r="E776" s="5">
        <v>-30097</v>
      </c>
      <c r="F776" s="3" t="s">
        <v>156</v>
      </c>
      <c r="G776" s="3" t="s">
        <v>1596</v>
      </c>
      <c r="H776" s="2" t="s">
        <v>21</v>
      </c>
      <c r="I776" s="2" t="s">
        <v>2074</v>
      </c>
      <c r="J776" s="3" t="str">
        <f>HYPERLINK("https://www.boe.es/gazeta/dias/1817/08/05/pdfs/GMD-1817-93.pdf#page=6","Abrir facsímil")</f>
        <v>Abrir facsímil</v>
      </c>
      <c r="K776" s="3" t="s">
        <v>23</v>
      </c>
    </row>
    <row r="777" spans="1:11" ht="42" customHeight="1">
      <c r="A777" s="2" t="s">
        <v>2075</v>
      </c>
      <c r="B777" s="2" t="s">
        <v>2076</v>
      </c>
      <c r="C777" s="2" t="s">
        <v>36</v>
      </c>
      <c r="D777" s="2" t="s">
        <v>37</v>
      </c>
      <c r="E777" s="5">
        <v>-30109</v>
      </c>
      <c r="F777" s="3" t="s">
        <v>205</v>
      </c>
      <c r="G777" s="3" t="s">
        <v>311</v>
      </c>
      <c r="H777" s="2" t="s">
        <v>21</v>
      </c>
      <c r="I777" s="2" t="s">
        <v>2077</v>
      </c>
      <c r="J777" s="3" t="str">
        <f>HYPERLINK("https://www.boe.es/gazeta/dias/1817/07/24/pdfs/GMD-1817-88.pdf#page=12","Abrir facsímil")</f>
        <v>Abrir facsímil</v>
      </c>
      <c r="K777" s="3" t="s">
        <v>23</v>
      </c>
    </row>
    <row r="778" spans="1:11" ht="42" customHeight="1">
      <c r="A778" s="2" t="s">
        <v>2075</v>
      </c>
      <c r="B778" s="2" t="s">
        <v>2076</v>
      </c>
      <c r="C778" s="2" t="s">
        <v>36</v>
      </c>
      <c r="D778" s="2" t="s">
        <v>37</v>
      </c>
      <c r="E778" s="5">
        <v>-30109</v>
      </c>
      <c r="F778" s="3" t="s">
        <v>205</v>
      </c>
      <c r="G778" s="3" t="s">
        <v>282</v>
      </c>
      <c r="H778" s="2" t="s">
        <v>21</v>
      </c>
      <c r="I778" s="2" t="s">
        <v>2078</v>
      </c>
      <c r="J778" s="3" t="str">
        <f>HYPERLINK("https://www.boe.es/gazeta/dias/1817/07/24/pdfs/GMD-1817-88.pdf#page=15","Abrir facsímil")</f>
        <v>Abrir facsímil</v>
      </c>
      <c r="K778" s="3" t="s">
        <v>23</v>
      </c>
    </row>
    <row r="779" spans="1:11" ht="42" customHeight="1">
      <c r="A779" s="2" t="s">
        <v>2079</v>
      </c>
      <c r="B779" s="2" t="s">
        <v>2080</v>
      </c>
      <c r="C779" s="2" t="s">
        <v>43</v>
      </c>
      <c r="D779" s="2" t="s">
        <v>44</v>
      </c>
      <c r="E779" s="5">
        <v>-30011</v>
      </c>
      <c r="F779" s="3" t="s">
        <v>313</v>
      </c>
      <c r="G779" s="3" t="s">
        <v>1736</v>
      </c>
      <c r="H779" s="2" t="s">
        <v>21</v>
      </c>
      <c r="I779" s="2" t="s">
        <v>2081</v>
      </c>
      <c r="J779" s="3" t="str">
        <f>HYPERLINK("https://www.boe.es/gazeta/dias/1817/10/30/pdfs/GMD-1817-130.pdf#page=11","Abrir facsímil")</f>
        <v>Abrir facsímil</v>
      </c>
      <c r="K779" s="3" t="s">
        <v>23</v>
      </c>
    </row>
    <row r="780" spans="1:11" ht="42" customHeight="1">
      <c r="A780" s="2" t="s">
        <v>2082</v>
      </c>
      <c r="B780" s="2" t="s">
        <v>2083</v>
      </c>
      <c r="C780" s="2" t="s">
        <v>55</v>
      </c>
      <c r="D780" s="2" t="s">
        <v>44</v>
      </c>
      <c r="E780" s="5">
        <v>-30307</v>
      </c>
      <c r="F780" s="3" t="s">
        <v>67</v>
      </c>
      <c r="G780" s="3" t="s">
        <v>68</v>
      </c>
      <c r="H780" s="2" t="s">
        <v>21</v>
      </c>
      <c r="I780" s="2" t="s">
        <v>2084</v>
      </c>
      <c r="J780" s="3" t="str">
        <f>HYPERLINK("https://www.boe.es/gazeta/dias/1817/01/07/pdfs/GMD-1817-3.pdf#page=8","Abrir facsímil")</f>
        <v>Abrir facsímil</v>
      </c>
      <c r="K780" s="3" t="s">
        <v>23</v>
      </c>
    </row>
    <row r="781" spans="1:11" ht="42" customHeight="1">
      <c r="A781" s="2" t="s">
        <v>2085</v>
      </c>
      <c r="B781" s="2" t="s">
        <v>2086</v>
      </c>
      <c r="C781" s="2" t="s">
        <v>36</v>
      </c>
      <c r="D781" s="2" t="s">
        <v>37</v>
      </c>
      <c r="E781" s="5">
        <v>-30279</v>
      </c>
      <c r="F781" s="3" t="s">
        <v>1113</v>
      </c>
      <c r="G781" s="3" t="s">
        <v>77</v>
      </c>
      <c r="H781" s="2" t="s">
        <v>21</v>
      </c>
      <c r="I781" s="2" t="s">
        <v>2087</v>
      </c>
      <c r="J781" s="3" t="str">
        <f>HYPERLINK("https://www.boe.es/gazeta/dias/1817/02/04/pdfs/GMD-1817-15.pdf#page=8","Abrir facsímil")</f>
        <v>Abrir facsímil</v>
      </c>
      <c r="K781" s="3" t="s">
        <v>23</v>
      </c>
    </row>
    <row r="782" spans="1:11" ht="42" customHeight="1">
      <c r="A782" s="2" t="s">
        <v>2085</v>
      </c>
      <c r="B782" s="2" t="s">
        <v>2086</v>
      </c>
      <c r="C782" s="2" t="s">
        <v>36</v>
      </c>
      <c r="D782" s="2" t="s">
        <v>37</v>
      </c>
      <c r="E782" s="5">
        <v>-30244</v>
      </c>
      <c r="F782" s="3" t="s">
        <v>1482</v>
      </c>
      <c r="G782" s="3" t="s">
        <v>77</v>
      </c>
      <c r="H782" s="2" t="s">
        <v>21</v>
      </c>
      <c r="I782" s="2" t="s">
        <v>2088</v>
      </c>
      <c r="J782" s="3" t="str">
        <f>HYPERLINK("https://www.boe.es/gazeta/dias/1817/03/11/pdfs/GMD-1817-30.pdf#page=8","Abrir facsímil")</f>
        <v>Abrir facsímil</v>
      </c>
      <c r="K782" s="3" t="s">
        <v>23</v>
      </c>
    </row>
    <row r="783" spans="1:11" ht="42" customHeight="1">
      <c r="A783" s="2" t="s">
        <v>2085</v>
      </c>
      <c r="B783" s="2" t="s">
        <v>2086</v>
      </c>
      <c r="C783" s="2" t="s">
        <v>36</v>
      </c>
      <c r="D783" s="2" t="s">
        <v>37</v>
      </c>
      <c r="E783" s="5">
        <v>-30219</v>
      </c>
      <c r="F783" s="3" t="s">
        <v>1346</v>
      </c>
      <c r="G783" s="3" t="s">
        <v>1347</v>
      </c>
      <c r="H783" s="2" t="s">
        <v>21</v>
      </c>
      <c r="I783" s="2" t="s">
        <v>2089</v>
      </c>
      <c r="J783" s="3" t="str">
        <f>HYPERLINK("https://www.boe.es/gazeta/dias/1817/04/05/pdfs/GMD-1817-41.pdf#page=8","Abrir facsímil")</f>
        <v>Abrir facsímil</v>
      </c>
      <c r="K783" s="3" t="s">
        <v>23</v>
      </c>
    </row>
    <row r="784" spans="1:11" ht="42" customHeight="1">
      <c r="A784" s="2" t="s">
        <v>2085</v>
      </c>
      <c r="B784" s="2" t="s">
        <v>2086</v>
      </c>
      <c r="C784" s="2" t="s">
        <v>36</v>
      </c>
      <c r="D784" s="2" t="s">
        <v>37</v>
      </c>
      <c r="E784" s="5">
        <v>-30018</v>
      </c>
      <c r="F784" s="3" t="s">
        <v>757</v>
      </c>
      <c r="G784" s="3" t="s">
        <v>77</v>
      </c>
      <c r="H784" s="2" t="s">
        <v>21</v>
      </c>
      <c r="I784" s="2" t="s">
        <v>2090</v>
      </c>
      <c r="J784" s="3" t="str">
        <f>HYPERLINK("https://www.boe.es/gazeta/dias/1817/10/23/pdfs/GMD-1817-127.pdf#page=8","Abrir facsímil")</f>
        <v>Abrir facsímil</v>
      </c>
      <c r="K784" s="3" t="s">
        <v>23</v>
      </c>
    </row>
    <row r="785" spans="1:11" ht="42" customHeight="1">
      <c r="A785" s="2" t="s">
        <v>2091</v>
      </c>
      <c r="B785" s="2" t="s">
        <v>2091</v>
      </c>
      <c r="C785" s="2" t="s">
        <v>36</v>
      </c>
      <c r="D785" s="2" t="s">
        <v>37</v>
      </c>
      <c r="E785" s="5">
        <v>-30109</v>
      </c>
      <c r="F785" s="3" t="s">
        <v>205</v>
      </c>
      <c r="G785" s="3" t="s">
        <v>112</v>
      </c>
      <c r="H785" s="2" t="s">
        <v>21</v>
      </c>
      <c r="I785" s="2" t="s">
        <v>2092</v>
      </c>
      <c r="J785" s="3" t="str">
        <f>HYPERLINK("https://www.boe.es/gazeta/dias/1817/07/24/pdfs/GMD-1817-88.pdf#page=11","Abrir facsímil")</f>
        <v>Abrir facsímil</v>
      </c>
      <c r="K785" s="3" t="s">
        <v>23</v>
      </c>
    </row>
    <row r="786" spans="1:11" ht="42" customHeight="1">
      <c r="A786" s="2" t="s">
        <v>2091</v>
      </c>
      <c r="B786" s="2" t="s">
        <v>2091</v>
      </c>
      <c r="C786" s="2" t="s">
        <v>36</v>
      </c>
      <c r="D786" s="2" t="s">
        <v>37</v>
      </c>
      <c r="E786" s="5">
        <v>-30109</v>
      </c>
      <c r="F786" s="3" t="s">
        <v>205</v>
      </c>
      <c r="G786" s="3" t="s">
        <v>20</v>
      </c>
      <c r="H786" s="2" t="s">
        <v>21</v>
      </c>
      <c r="I786" s="2" t="s">
        <v>2093</v>
      </c>
      <c r="J786" s="3" t="str">
        <f>HYPERLINK("https://www.boe.es/gazeta/dias/1817/07/24/pdfs/GMD-1817-88.pdf#page=7","Abrir facsímil")</f>
        <v>Abrir facsímil</v>
      </c>
      <c r="K786" s="3" t="s">
        <v>23</v>
      </c>
    </row>
    <row r="787" spans="1:11" ht="42" customHeight="1">
      <c r="A787" s="2" t="s">
        <v>2094</v>
      </c>
      <c r="B787" s="2" t="s">
        <v>2095</v>
      </c>
      <c r="C787" s="2" t="s">
        <v>36</v>
      </c>
      <c r="D787" s="2" t="s">
        <v>37</v>
      </c>
      <c r="E787" s="5">
        <v>-30251</v>
      </c>
      <c r="F787" s="3" t="s">
        <v>2096</v>
      </c>
      <c r="G787" s="3" t="s">
        <v>77</v>
      </c>
      <c r="H787" s="2" t="s">
        <v>21</v>
      </c>
      <c r="I787" s="2" t="s">
        <v>2097</v>
      </c>
      <c r="J787" s="3" t="str">
        <f>HYPERLINK("https://www.boe.es/gazeta/dias/1817/03/04/pdfs/GMD-1817-27.pdf#page=8","Abrir facsímil")</f>
        <v>Abrir facsímil</v>
      </c>
      <c r="K787" s="3" t="s">
        <v>23</v>
      </c>
    </row>
    <row r="788" spans="1:11" ht="42" customHeight="1">
      <c r="A788" s="2" t="s">
        <v>2098</v>
      </c>
      <c r="B788" s="2" t="s">
        <v>2099</v>
      </c>
      <c r="C788" s="2" t="s">
        <v>55</v>
      </c>
      <c r="D788" s="2" t="s">
        <v>44</v>
      </c>
      <c r="E788" s="5">
        <v>-29985</v>
      </c>
      <c r="F788" s="3" t="s">
        <v>76</v>
      </c>
      <c r="G788" s="3" t="s">
        <v>20</v>
      </c>
      <c r="H788" s="2" t="s">
        <v>21</v>
      </c>
      <c r="I788" s="2" t="s">
        <v>2100</v>
      </c>
      <c r="J788" s="3" t="str">
        <f>HYPERLINK("https://www.boe.es/gazeta/dias/1817/11/25/pdfs/GMD-1817-141.pdf#page=7","Abrir facsímil")</f>
        <v>Abrir facsímil</v>
      </c>
      <c r="K788" s="3" t="s">
        <v>23</v>
      </c>
    </row>
    <row r="789" spans="1:11" ht="42" customHeight="1">
      <c r="A789" s="2" t="s">
        <v>2101</v>
      </c>
      <c r="B789" s="2" t="s">
        <v>2102</v>
      </c>
      <c r="C789" s="2" t="s">
        <v>36</v>
      </c>
      <c r="D789" s="2" t="s">
        <v>37</v>
      </c>
      <c r="E789" s="5">
        <v>-30167</v>
      </c>
      <c r="F789" s="3" t="s">
        <v>153</v>
      </c>
      <c r="G789" s="3" t="s">
        <v>20</v>
      </c>
      <c r="H789" s="2" t="s">
        <v>21</v>
      </c>
      <c r="I789" s="2" t="s">
        <v>2103</v>
      </c>
      <c r="J789" s="3" t="str">
        <f>HYPERLINK("https://www.boe.es/gazeta/dias/1817/05/27/pdfs/GMD-1817-63.pdf#page=7","Abrir facsímil")</f>
        <v>Abrir facsímil</v>
      </c>
      <c r="K789" s="3" t="s">
        <v>23</v>
      </c>
    </row>
    <row r="790" spans="1:11" ht="42" customHeight="1">
      <c r="A790" s="2" t="s">
        <v>2104</v>
      </c>
      <c r="B790" s="2" t="s">
        <v>2104</v>
      </c>
      <c r="C790" s="2" t="s">
        <v>36</v>
      </c>
      <c r="D790" s="2" t="s">
        <v>37</v>
      </c>
      <c r="E790" s="5">
        <v>-30149</v>
      </c>
      <c r="F790" s="3" t="s">
        <v>430</v>
      </c>
      <c r="G790" s="3" t="s">
        <v>39</v>
      </c>
      <c r="H790" s="2" t="s">
        <v>21</v>
      </c>
      <c r="I790" s="2" t="s">
        <v>2105</v>
      </c>
      <c r="J790" s="3" t="str">
        <f>HYPERLINK("https://www.boe.es/gazeta/dias/1817/06/14/pdfs/GMD-1817-71.pdf#page=5","Abrir facsímil")</f>
        <v>Abrir facsímil</v>
      </c>
      <c r="K790" s="3" t="s">
        <v>23</v>
      </c>
    </row>
    <row r="791" spans="1:11" ht="42" customHeight="1">
      <c r="A791" s="2" t="s">
        <v>2106</v>
      </c>
      <c r="B791" s="2" t="s">
        <v>2107</v>
      </c>
      <c r="C791" s="2" t="s">
        <v>17</v>
      </c>
      <c r="D791" s="2" t="s">
        <v>18</v>
      </c>
      <c r="E791" s="5">
        <v>-30310</v>
      </c>
      <c r="F791" s="3" t="s">
        <v>93</v>
      </c>
      <c r="G791" s="3" t="s">
        <v>20</v>
      </c>
      <c r="H791" s="2" t="s">
        <v>21</v>
      </c>
      <c r="I791" s="2" t="s">
        <v>2108</v>
      </c>
      <c r="J791" s="3" t="str">
        <f>HYPERLINK("https://www.boe.es/gazeta/dias/1817/01/04/pdfs/GMD-1817-2.pdf#page=7","Abrir facsímil")</f>
        <v>Abrir facsímil</v>
      </c>
      <c r="K791" s="3" t="s">
        <v>23</v>
      </c>
    </row>
    <row r="792" spans="1:11" ht="42" customHeight="1">
      <c r="A792" s="2" t="s">
        <v>2109</v>
      </c>
      <c r="B792" s="2" t="s">
        <v>2110</v>
      </c>
      <c r="C792" s="2" t="s">
        <v>55</v>
      </c>
      <c r="D792" s="2" t="s">
        <v>44</v>
      </c>
      <c r="E792" s="5">
        <v>-30027</v>
      </c>
      <c r="F792" s="3" t="s">
        <v>173</v>
      </c>
      <c r="G792" s="3" t="s">
        <v>77</v>
      </c>
      <c r="H792" s="2" t="s">
        <v>27</v>
      </c>
      <c r="I792" s="2" t="s">
        <v>2111</v>
      </c>
      <c r="J792" s="3" t="str">
        <f>HYPERLINK("https://www.boe.es/gazeta/dias/1817/10/14/pdfs/GMD-1817-123.pdf#page=8","Abrir facsímil")</f>
        <v>Abrir facsímil</v>
      </c>
      <c r="K792" s="3" t="s">
        <v>29</v>
      </c>
    </row>
    <row r="793" spans="1:11" ht="42" customHeight="1">
      <c r="A793" s="2" t="s">
        <v>2112</v>
      </c>
      <c r="B793" s="2" t="s">
        <v>2113</v>
      </c>
      <c r="C793" s="2" t="s">
        <v>36</v>
      </c>
      <c r="D793" s="2" t="s">
        <v>37</v>
      </c>
      <c r="E793" s="5">
        <v>-30149</v>
      </c>
      <c r="F793" s="3" t="s">
        <v>430</v>
      </c>
      <c r="G793" s="3" t="s">
        <v>39</v>
      </c>
      <c r="H793" s="2" t="s">
        <v>21</v>
      </c>
      <c r="I793" s="2" t="s">
        <v>2114</v>
      </c>
      <c r="J793" s="3" t="str">
        <f>HYPERLINK("https://www.boe.es/gazeta/dias/1817/06/14/pdfs/GMD-1817-71.pdf#page=5","Abrir facsímil")</f>
        <v>Abrir facsímil</v>
      </c>
      <c r="K793" s="3" t="s">
        <v>23</v>
      </c>
    </row>
    <row r="794" spans="1:11" ht="42" customHeight="1">
      <c r="A794" s="2" t="s">
        <v>2115</v>
      </c>
      <c r="B794" s="2" t="s">
        <v>2116</v>
      </c>
      <c r="C794" s="2" t="s">
        <v>36</v>
      </c>
      <c r="D794" s="2" t="s">
        <v>37</v>
      </c>
      <c r="E794" s="5">
        <v>-30076</v>
      </c>
      <c r="F794" s="3" t="s">
        <v>439</v>
      </c>
      <c r="G794" s="3" t="s">
        <v>144</v>
      </c>
      <c r="H794" s="2" t="s">
        <v>21</v>
      </c>
      <c r="I794" s="2" t="s">
        <v>2117</v>
      </c>
      <c r="J794" s="3" t="str">
        <f>HYPERLINK("https://www.boe.es/gazeta/dias/1817/08/26/pdfs/GMD-1817-102.pdf#page=4","Abrir facsímil")</f>
        <v>Abrir facsímil</v>
      </c>
      <c r="K794" s="3" t="s">
        <v>23</v>
      </c>
    </row>
    <row r="795" spans="1:11" ht="42" customHeight="1">
      <c r="A795" s="2" t="s">
        <v>2118</v>
      </c>
      <c r="B795" s="2" t="s">
        <v>2118</v>
      </c>
      <c r="C795" s="2" t="s">
        <v>36</v>
      </c>
      <c r="D795" s="2" t="s">
        <v>37</v>
      </c>
      <c r="E795" s="5">
        <v>-30223</v>
      </c>
      <c r="F795" s="3" t="s">
        <v>627</v>
      </c>
      <c r="G795" s="3" t="s">
        <v>629</v>
      </c>
      <c r="H795" s="2" t="s">
        <v>21</v>
      </c>
      <c r="I795" s="2" t="s">
        <v>2119</v>
      </c>
      <c r="J795" s="3" t="str">
        <f>HYPERLINK("https://www.boe.es/gazeta/dias/1817/04/01/pdfs/GMD-1817-39.pdf#page=2","Abrir facsímil")</f>
        <v>Abrir facsímil</v>
      </c>
      <c r="K795" s="3" t="s">
        <v>23</v>
      </c>
    </row>
    <row r="796" spans="1:11" ht="42" customHeight="1">
      <c r="A796" s="2" t="s">
        <v>2118</v>
      </c>
      <c r="B796" s="2" t="s">
        <v>2118</v>
      </c>
      <c r="C796" s="2" t="s">
        <v>36</v>
      </c>
      <c r="D796" s="2" t="s">
        <v>37</v>
      </c>
      <c r="E796" s="5">
        <v>-30209</v>
      </c>
      <c r="F796" s="3" t="s">
        <v>1478</v>
      </c>
      <c r="G796" s="3" t="s">
        <v>39</v>
      </c>
      <c r="H796" s="2" t="s">
        <v>21</v>
      </c>
      <c r="I796" s="2" t="s">
        <v>2120</v>
      </c>
      <c r="J796" s="3" t="str">
        <f>HYPERLINK("https://www.boe.es/gazeta/dias/1817/04/15/pdfs/GMD-1817-45.pdf#page=5","Abrir facsímil")</f>
        <v>Abrir facsímil</v>
      </c>
      <c r="K796" s="3" t="s">
        <v>23</v>
      </c>
    </row>
    <row r="797" spans="1:11" ht="42" customHeight="1">
      <c r="A797" s="2" t="s">
        <v>2118</v>
      </c>
      <c r="B797" s="2" t="s">
        <v>2118</v>
      </c>
      <c r="C797" s="2" t="s">
        <v>36</v>
      </c>
      <c r="D797" s="2" t="s">
        <v>37</v>
      </c>
      <c r="E797" s="5">
        <v>-30041</v>
      </c>
      <c r="F797" s="3" t="s">
        <v>260</v>
      </c>
      <c r="G797" s="3" t="s">
        <v>1151</v>
      </c>
      <c r="H797" s="2" t="s">
        <v>21</v>
      </c>
      <c r="I797" s="2" t="s">
        <v>2121</v>
      </c>
      <c r="J797" s="3" t="str">
        <f>HYPERLINK("https://www.boe.es/gazeta/dias/1817/09/30/pdfs/GMD-1817-117.pdf#page=4","Abrir facsímil")</f>
        <v>Abrir facsímil</v>
      </c>
      <c r="K797" s="3" t="s">
        <v>23</v>
      </c>
    </row>
    <row r="798" spans="1:11" ht="42" customHeight="1">
      <c r="A798" s="2" t="s">
        <v>2122</v>
      </c>
      <c r="B798" s="2" t="s">
        <v>2123</v>
      </c>
      <c r="C798" s="2" t="s">
        <v>36</v>
      </c>
      <c r="D798" s="2" t="s">
        <v>37</v>
      </c>
      <c r="E798" s="5">
        <v>-30151</v>
      </c>
      <c r="F798" s="3" t="s">
        <v>1422</v>
      </c>
      <c r="G798" s="3" t="s">
        <v>39</v>
      </c>
      <c r="H798" s="2" t="s">
        <v>21</v>
      </c>
      <c r="I798" s="2" t="s">
        <v>2124</v>
      </c>
      <c r="J798" s="3" t="str">
        <f>HYPERLINK("https://www.boe.es/gazeta/dias/1817/06/12/pdfs/GMD-1817-70.pdf#page=5","Abrir facsímil")</f>
        <v>Abrir facsímil</v>
      </c>
      <c r="K798" s="3" t="s">
        <v>23</v>
      </c>
    </row>
    <row r="799" spans="1:11" ht="42" customHeight="1">
      <c r="A799" s="2" t="s">
        <v>2125</v>
      </c>
      <c r="B799" s="2" t="s">
        <v>2126</v>
      </c>
      <c r="C799" s="2" t="s">
        <v>43</v>
      </c>
      <c r="D799" s="2" t="s">
        <v>44</v>
      </c>
      <c r="E799" s="5">
        <v>-30130</v>
      </c>
      <c r="F799" s="3" t="s">
        <v>768</v>
      </c>
      <c r="G799" s="3" t="s">
        <v>144</v>
      </c>
      <c r="H799" s="2" t="s">
        <v>21</v>
      </c>
      <c r="I799" s="2" t="s">
        <v>2127</v>
      </c>
      <c r="J799" s="3" t="str">
        <f>HYPERLINK("https://www.boe.es/gazeta/dias/1817/07/03/pdfs/GMD-1817-79.pdf#page=4","Abrir facsímil")</f>
        <v>Abrir facsímil</v>
      </c>
      <c r="K799" s="3" t="s">
        <v>23</v>
      </c>
    </row>
    <row r="800" spans="1:11" ht="42" customHeight="1">
      <c r="A800" s="2" t="s">
        <v>2128</v>
      </c>
      <c r="B800" s="2" t="s">
        <v>2129</v>
      </c>
      <c r="C800" s="2" t="s">
        <v>36</v>
      </c>
      <c r="D800" s="2" t="s">
        <v>37</v>
      </c>
      <c r="E800" s="5">
        <v>-30200</v>
      </c>
      <c r="F800" s="3" t="s">
        <v>725</v>
      </c>
      <c r="G800" s="3" t="s">
        <v>57</v>
      </c>
      <c r="H800" s="2" t="s">
        <v>21</v>
      </c>
      <c r="I800" s="2" t="s">
        <v>2130</v>
      </c>
      <c r="J800" s="3" t="str">
        <f>HYPERLINK("https://www.boe.es/gazeta/dias/1817/04/24/pdfs/GMD-1817-49.pdf#page=6","Abrir facsímil")</f>
        <v>Abrir facsímil</v>
      </c>
      <c r="K800" s="3" t="s">
        <v>23</v>
      </c>
    </row>
    <row r="801" spans="1:11" ht="42" customHeight="1">
      <c r="A801" s="2" t="s">
        <v>2131</v>
      </c>
      <c r="B801" s="2" t="s">
        <v>2132</v>
      </c>
      <c r="C801" s="2" t="s">
        <v>43</v>
      </c>
      <c r="D801" s="2" t="s">
        <v>44</v>
      </c>
      <c r="E801" s="5">
        <v>-30130</v>
      </c>
      <c r="F801" s="3" t="s">
        <v>768</v>
      </c>
      <c r="G801" s="3" t="s">
        <v>144</v>
      </c>
      <c r="H801" s="2" t="s">
        <v>21</v>
      </c>
      <c r="I801" s="2" t="s">
        <v>2133</v>
      </c>
      <c r="J801" s="3" t="str">
        <f>HYPERLINK("https://www.boe.es/gazeta/dias/1817/07/03/pdfs/GMD-1817-79.pdf#page=4","Abrir facsímil")</f>
        <v>Abrir facsímil</v>
      </c>
      <c r="K801" s="3" t="s">
        <v>23</v>
      </c>
    </row>
    <row r="802" spans="1:11" ht="42" customHeight="1">
      <c r="A802" s="2" t="s">
        <v>2134</v>
      </c>
      <c r="B802" s="2" t="s">
        <v>2135</v>
      </c>
      <c r="C802" s="2" t="s">
        <v>17</v>
      </c>
      <c r="D802" s="2" t="s">
        <v>18</v>
      </c>
      <c r="E802" s="5">
        <v>-29960</v>
      </c>
      <c r="F802" s="3" t="s">
        <v>657</v>
      </c>
      <c r="G802" s="3" t="s">
        <v>20</v>
      </c>
      <c r="H802" s="2" t="s">
        <v>21</v>
      </c>
      <c r="I802" s="2" t="s">
        <v>2136</v>
      </c>
      <c r="J802" s="3" t="str">
        <f>HYPERLINK("https://www.boe.es/gazeta/dias/1817/12/20/pdfs/GMD-1817-152.pdf#page=7","Abrir facsímil")</f>
        <v>Abrir facsímil</v>
      </c>
      <c r="K802" s="3" t="s">
        <v>23</v>
      </c>
    </row>
    <row r="803" spans="1:11" ht="42" customHeight="1">
      <c r="A803" s="2" t="s">
        <v>2137</v>
      </c>
      <c r="B803" s="2" t="s">
        <v>2138</v>
      </c>
      <c r="C803" s="2" t="s">
        <v>17</v>
      </c>
      <c r="D803" s="2" t="s">
        <v>18</v>
      </c>
      <c r="E803" s="5">
        <v>-30037</v>
      </c>
      <c r="F803" s="3" t="s">
        <v>453</v>
      </c>
      <c r="G803" s="3" t="s">
        <v>39</v>
      </c>
      <c r="H803" s="2" t="s">
        <v>21</v>
      </c>
      <c r="I803" s="2" t="s">
        <v>2139</v>
      </c>
      <c r="J803" s="3" t="str">
        <f>HYPERLINK("https://www.boe.es/gazeta/dias/1817/10/04/pdfs/GMD-1817-119.pdf#page=5","Abrir facsímil")</f>
        <v>Abrir facsímil</v>
      </c>
      <c r="K803" s="3" t="s">
        <v>23</v>
      </c>
    </row>
    <row r="804" spans="1:11" ht="42" customHeight="1">
      <c r="A804" s="2" t="s">
        <v>2140</v>
      </c>
      <c r="B804" s="2" t="s">
        <v>2141</v>
      </c>
      <c r="C804" s="2" t="s">
        <v>36</v>
      </c>
      <c r="D804" s="2" t="s">
        <v>37</v>
      </c>
      <c r="E804" s="5">
        <v>-30188</v>
      </c>
      <c r="F804" s="3" t="s">
        <v>177</v>
      </c>
      <c r="G804" s="3" t="s">
        <v>144</v>
      </c>
      <c r="H804" s="2" t="s">
        <v>21</v>
      </c>
      <c r="I804" s="2" t="s">
        <v>2142</v>
      </c>
      <c r="J804" s="3" t="str">
        <f>HYPERLINK("https://www.boe.es/gazeta/dias/1817/05/06/pdfs/GMD-1817-54.pdf#page=4","Abrir facsímil")</f>
        <v>Abrir facsímil</v>
      </c>
      <c r="K804" s="3" t="s">
        <v>23</v>
      </c>
    </row>
    <row r="805" spans="1:11" ht="42" customHeight="1">
      <c r="A805" s="2" t="s">
        <v>2140</v>
      </c>
      <c r="B805" s="2" t="s">
        <v>2141</v>
      </c>
      <c r="C805" s="2" t="s">
        <v>36</v>
      </c>
      <c r="D805" s="2" t="s">
        <v>37</v>
      </c>
      <c r="E805" s="5">
        <v>-30149</v>
      </c>
      <c r="F805" s="3" t="s">
        <v>430</v>
      </c>
      <c r="G805" s="3" t="s">
        <v>39</v>
      </c>
      <c r="H805" s="2" t="s">
        <v>21</v>
      </c>
      <c r="I805" s="2" t="s">
        <v>2143</v>
      </c>
      <c r="J805" s="3" t="str">
        <f>HYPERLINK("https://www.boe.es/gazeta/dias/1817/06/14/pdfs/GMD-1817-71.pdf#page=5","Abrir facsímil")</f>
        <v>Abrir facsímil</v>
      </c>
      <c r="K805" s="3" t="s">
        <v>23</v>
      </c>
    </row>
    <row r="806" spans="1:11" ht="42" customHeight="1">
      <c r="A806" s="2" t="s">
        <v>2140</v>
      </c>
      <c r="B806" s="2" t="s">
        <v>2141</v>
      </c>
      <c r="C806" s="2" t="s">
        <v>36</v>
      </c>
      <c r="D806" s="2" t="s">
        <v>37</v>
      </c>
      <c r="E806" s="5">
        <v>-30002</v>
      </c>
      <c r="F806" s="3" t="s">
        <v>469</v>
      </c>
      <c r="G806" s="3" t="s">
        <v>144</v>
      </c>
      <c r="H806" s="2" t="s">
        <v>21</v>
      </c>
      <c r="I806" s="2" t="s">
        <v>2144</v>
      </c>
      <c r="J806" s="3" t="str">
        <f>HYPERLINK("https://www.boe.es/gazeta/dias/1817/11/08/pdfs/GMD-1817-134.pdf#page=4","Abrir facsímil")</f>
        <v>Abrir facsímil</v>
      </c>
      <c r="K806" s="3" t="s">
        <v>23</v>
      </c>
    </row>
    <row r="807" spans="1:11" ht="42" customHeight="1">
      <c r="A807" s="2" t="s">
        <v>2145</v>
      </c>
      <c r="B807" s="2" t="s">
        <v>2145</v>
      </c>
      <c r="C807" s="2" t="s">
        <v>17</v>
      </c>
      <c r="D807" s="2" t="s">
        <v>18</v>
      </c>
      <c r="E807" s="5">
        <v>-30009</v>
      </c>
      <c r="F807" s="3" t="s">
        <v>512</v>
      </c>
      <c r="G807" s="3" t="s">
        <v>2146</v>
      </c>
      <c r="H807" s="2" t="s">
        <v>21</v>
      </c>
      <c r="I807" s="2" t="s">
        <v>2147</v>
      </c>
      <c r="J807" s="3" t="str">
        <f>HYPERLINK("https://www.boe.es/gazeta/dias/1817/11/01/pdfs/GMD-1817-131.pdf#page=3","Abrir facsímil")</f>
        <v>Abrir facsímil</v>
      </c>
      <c r="K807" s="3" t="s">
        <v>23</v>
      </c>
    </row>
    <row r="808" spans="1:11" ht="42" customHeight="1">
      <c r="A808" s="2" t="s">
        <v>2148</v>
      </c>
      <c r="B808" s="2" t="s">
        <v>2149</v>
      </c>
      <c r="C808" s="2" t="s">
        <v>17</v>
      </c>
      <c r="D808" s="2" t="s">
        <v>18</v>
      </c>
      <c r="E808" s="5">
        <v>-30310</v>
      </c>
      <c r="F808" s="3" t="s">
        <v>93</v>
      </c>
      <c r="G808" s="3" t="s">
        <v>20</v>
      </c>
      <c r="H808" s="2" t="s">
        <v>21</v>
      </c>
      <c r="I808" s="2" t="s">
        <v>2150</v>
      </c>
      <c r="J808" s="3" t="str">
        <f>HYPERLINK("https://www.boe.es/gazeta/dias/1817/01/04/pdfs/GMD-1817-2.pdf#page=7","Abrir facsímil")</f>
        <v>Abrir facsímil</v>
      </c>
      <c r="K808" s="3" t="s">
        <v>23</v>
      </c>
    </row>
    <row r="809" spans="1:11" ht="42" customHeight="1">
      <c r="A809" s="2" t="s">
        <v>2151</v>
      </c>
      <c r="B809" s="2" t="s">
        <v>2152</v>
      </c>
      <c r="C809" s="2" t="s">
        <v>97</v>
      </c>
      <c r="D809" s="2" t="s">
        <v>44</v>
      </c>
      <c r="E809" s="5">
        <v>-29953</v>
      </c>
      <c r="F809" s="3" t="s">
        <v>793</v>
      </c>
      <c r="G809" s="3" t="s">
        <v>794</v>
      </c>
      <c r="H809" s="2" t="s">
        <v>21</v>
      </c>
      <c r="I809" s="2" t="s">
        <v>2153</v>
      </c>
      <c r="J809" s="3" t="str">
        <f>HYPERLINK("https://www.boe.es/gazeta/dias/1817/12/27/pdfs/GMD-1817-155.pdf#page=8","Abrir facsímil")</f>
        <v>Abrir facsímil</v>
      </c>
      <c r="K809" s="3" t="s">
        <v>23</v>
      </c>
    </row>
    <row r="810" spans="1:11" ht="42" customHeight="1">
      <c r="A810" s="2" t="s">
        <v>2154</v>
      </c>
      <c r="B810" s="2" t="s">
        <v>2155</v>
      </c>
      <c r="C810" s="2" t="s">
        <v>36</v>
      </c>
      <c r="D810" s="2" t="s">
        <v>37</v>
      </c>
      <c r="E810" s="5">
        <v>-29950</v>
      </c>
      <c r="F810" s="3" t="s">
        <v>185</v>
      </c>
      <c r="G810" s="3" t="s">
        <v>39</v>
      </c>
      <c r="H810" s="2" t="s">
        <v>21</v>
      </c>
      <c r="I810" s="2" t="s">
        <v>2156</v>
      </c>
      <c r="J810" s="3" t="str">
        <f>HYPERLINK("https://www.boe.es/gazeta/dias/1817/12/30/pdfs/GMD-1817-156.pdf#page=5","Abrir facsímil")</f>
        <v>Abrir facsímil</v>
      </c>
      <c r="K810" s="3" t="s">
        <v>23</v>
      </c>
    </row>
    <row r="811" spans="1:11" ht="42" customHeight="1">
      <c r="A811" s="2" t="s">
        <v>2157</v>
      </c>
      <c r="B811" s="2" t="s">
        <v>2158</v>
      </c>
      <c r="C811" s="2" t="s">
        <v>36</v>
      </c>
      <c r="D811" s="2" t="s">
        <v>37</v>
      </c>
      <c r="E811" s="5">
        <v>-29950</v>
      </c>
      <c r="F811" s="3" t="s">
        <v>185</v>
      </c>
      <c r="G811" s="3" t="s">
        <v>39</v>
      </c>
      <c r="H811" s="2" t="s">
        <v>21</v>
      </c>
      <c r="I811" s="2" t="s">
        <v>2159</v>
      </c>
      <c r="J811" s="3" t="str">
        <f>HYPERLINK("https://www.boe.es/gazeta/dias/1817/12/30/pdfs/GMD-1817-156.pdf#page=5","Abrir facsímil")</f>
        <v>Abrir facsímil</v>
      </c>
      <c r="K811" s="3" t="s">
        <v>23</v>
      </c>
    </row>
    <row r="812" spans="1:11" ht="42" customHeight="1">
      <c r="A812" s="2" t="s">
        <v>2160</v>
      </c>
      <c r="B812" s="2" t="s">
        <v>2161</v>
      </c>
      <c r="C812" s="2" t="s">
        <v>17</v>
      </c>
      <c r="D812" s="2" t="s">
        <v>18</v>
      </c>
      <c r="E812" s="5">
        <v>-30223</v>
      </c>
      <c r="F812" s="3" t="s">
        <v>627</v>
      </c>
      <c r="G812" s="3" t="s">
        <v>1721</v>
      </c>
      <c r="H812" s="2" t="s">
        <v>21</v>
      </c>
      <c r="I812" s="2" t="s">
        <v>2162</v>
      </c>
      <c r="J812" s="3" t="str">
        <f>HYPERLINK("https://www.boe.es/gazeta/dias/1817/04/01/pdfs/GMD-1817-39.pdf#page=7","Abrir facsímil")</f>
        <v>Abrir facsímil</v>
      </c>
      <c r="K812" s="3" t="s">
        <v>23</v>
      </c>
    </row>
    <row r="813" spans="1:11" ht="42" customHeight="1">
      <c r="A813" s="2" t="s">
        <v>2160</v>
      </c>
      <c r="B813" s="2" t="s">
        <v>2161</v>
      </c>
      <c r="C813" s="2" t="s">
        <v>36</v>
      </c>
      <c r="D813" s="2" t="s">
        <v>37</v>
      </c>
      <c r="E813" s="5">
        <v>-30223</v>
      </c>
      <c r="F813" s="3" t="s">
        <v>627</v>
      </c>
      <c r="G813" s="3" t="s">
        <v>57</v>
      </c>
      <c r="H813" s="2" t="s">
        <v>21</v>
      </c>
      <c r="I813" s="2" t="s">
        <v>2163</v>
      </c>
      <c r="J813" s="3" t="str">
        <f>HYPERLINK("https://www.boe.es/gazeta/dias/1817/04/01/pdfs/GMD-1817-39.pdf#page=6","Abrir facsímil")</f>
        <v>Abrir facsímil</v>
      </c>
      <c r="K813" s="3" t="s">
        <v>23</v>
      </c>
    </row>
    <row r="814" spans="1:11" ht="42" customHeight="1">
      <c r="A814" s="2" t="s">
        <v>2164</v>
      </c>
      <c r="B814" s="2" t="s">
        <v>2164</v>
      </c>
      <c r="C814" s="2" t="s">
        <v>43</v>
      </c>
      <c r="D814" s="2" t="s">
        <v>44</v>
      </c>
      <c r="E814" s="5">
        <v>-30013</v>
      </c>
      <c r="F814" s="3" t="s">
        <v>464</v>
      </c>
      <c r="G814" s="3" t="s">
        <v>39</v>
      </c>
      <c r="H814" s="2" t="s">
        <v>21</v>
      </c>
      <c r="I814" s="2" t="s">
        <v>2165</v>
      </c>
      <c r="J814" s="3" t="str">
        <f>HYPERLINK("https://www.boe.es/gazeta/dias/1817/10/28/pdfs/GMD-1817-129.pdf#page=5","Abrir facsímil")</f>
        <v>Abrir facsímil</v>
      </c>
      <c r="K814" s="3" t="s">
        <v>23</v>
      </c>
    </row>
    <row r="815" spans="1:11" ht="42" customHeight="1">
      <c r="A815" s="2" t="s">
        <v>2166</v>
      </c>
      <c r="B815" s="2" t="s">
        <v>2166</v>
      </c>
      <c r="C815" s="2" t="s">
        <v>97</v>
      </c>
      <c r="D815" s="2" t="s">
        <v>44</v>
      </c>
      <c r="E815" s="5">
        <v>-30251</v>
      </c>
      <c r="F815" s="3" t="s">
        <v>2096</v>
      </c>
      <c r="G815" s="3" t="s">
        <v>2167</v>
      </c>
      <c r="H815" s="2" t="s">
        <v>21</v>
      </c>
      <c r="I815" s="2" t="s">
        <v>2168</v>
      </c>
      <c r="J815" s="3" t="str">
        <f>HYPERLINK("https://www.boe.es/gazeta/dias/1817/03/04/pdfs/GMD-1817-27.pdf#page=4","Abrir facsímil")</f>
        <v>Abrir facsímil</v>
      </c>
      <c r="K815" s="3" t="s">
        <v>23</v>
      </c>
    </row>
    <row r="816" spans="1:11" ht="42" customHeight="1">
      <c r="A816" s="2" t="s">
        <v>2169</v>
      </c>
      <c r="B816" s="2" t="s">
        <v>2169</v>
      </c>
      <c r="C816" s="2" t="s">
        <v>55</v>
      </c>
      <c r="D816" s="2" t="s">
        <v>44</v>
      </c>
      <c r="E816" s="5">
        <v>-29990</v>
      </c>
      <c r="F816" s="3" t="s">
        <v>542</v>
      </c>
      <c r="G816" s="3" t="s">
        <v>551</v>
      </c>
      <c r="H816" s="2" t="s">
        <v>21</v>
      </c>
      <c r="I816" s="2" t="s">
        <v>2170</v>
      </c>
      <c r="J816" s="3" t="str">
        <f>HYPERLINK("https://www.boe.es/gazeta/dias/1817/11/20/pdfs/GMD-1817-139.pdf#page=3","Abrir facsímil")</f>
        <v>Abrir facsímil</v>
      </c>
      <c r="K816" s="3" t="s">
        <v>23</v>
      </c>
    </row>
    <row r="817" spans="1:11" ht="42" customHeight="1">
      <c r="A817" s="2" t="s">
        <v>2171</v>
      </c>
      <c r="B817" s="2" t="s">
        <v>2172</v>
      </c>
      <c r="C817" s="2" t="s">
        <v>36</v>
      </c>
      <c r="D817" s="2" t="s">
        <v>37</v>
      </c>
      <c r="E817" s="5">
        <v>-29978</v>
      </c>
      <c r="F817" s="3" t="s">
        <v>478</v>
      </c>
      <c r="G817" s="3" t="s">
        <v>20</v>
      </c>
      <c r="H817" s="2" t="s">
        <v>21</v>
      </c>
      <c r="I817" s="2" t="s">
        <v>2173</v>
      </c>
      <c r="J817" s="3" t="str">
        <f>HYPERLINK("https://www.boe.es/gazeta/dias/1817/12/02/pdfs/GMD-1817-144.pdf#page=7","Abrir facsímil")</f>
        <v>Abrir facsímil</v>
      </c>
      <c r="K817" s="3" t="s">
        <v>23</v>
      </c>
    </row>
    <row r="818" spans="1:11" ht="42" customHeight="1">
      <c r="A818" s="2" t="s">
        <v>2174</v>
      </c>
      <c r="B818" s="2" t="s">
        <v>2175</v>
      </c>
      <c r="C818" s="2" t="s">
        <v>43</v>
      </c>
      <c r="D818" s="2" t="s">
        <v>44</v>
      </c>
      <c r="E818" s="5">
        <v>-30013</v>
      </c>
      <c r="F818" s="3" t="s">
        <v>464</v>
      </c>
      <c r="G818" s="3" t="s">
        <v>39</v>
      </c>
      <c r="H818" s="2" t="s">
        <v>21</v>
      </c>
      <c r="I818" s="2" t="s">
        <v>2176</v>
      </c>
      <c r="J818" s="3" t="str">
        <f>HYPERLINK("https://www.boe.es/gazeta/dias/1817/10/28/pdfs/GMD-1817-129.pdf#page=5","Abrir facsímil")</f>
        <v>Abrir facsímil</v>
      </c>
      <c r="K818" s="3" t="s">
        <v>23</v>
      </c>
    </row>
    <row r="819" spans="1:11" ht="42" customHeight="1">
      <c r="A819" s="2" t="s">
        <v>2177</v>
      </c>
      <c r="B819" s="2" t="s">
        <v>2178</v>
      </c>
      <c r="C819" s="2" t="s">
        <v>43</v>
      </c>
      <c r="D819" s="2" t="s">
        <v>44</v>
      </c>
      <c r="E819" s="5">
        <v>-30013</v>
      </c>
      <c r="F819" s="3" t="s">
        <v>464</v>
      </c>
      <c r="G819" s="3" t="s">
        <v>39</v>
      </c>
      <c r="H819" s="2" t="s">
        <v>21</v>
      </c>
      <c r="I819" s="2" t="s">
        <v>2179</v>
      </c>
      <c r="J819" s="3" t="str">
        <f>HYPERLINK("https://www.boe.es/gazeta/dias/1817/10/28/pdfs/GMD-1817-129.pdf#page=5","Abrir facsímil")</f>
        <v>Abrir facsímil</v>
      </c>
      <c r="K819" s="3" t="s">
        <v>23</v>
      </c>
    </row>
    <row r="820" spans="1:11" ht="42" customHeight="1">
      <c r="A820" s="2" t="s">
        <v>2180</v>
      </c>
      <c r="B820" s="2" t="s">
        <v>2181</v>
      </c>
      <c r="C820" s="2" t="s">
        <v>36</v>
      </c>
      <c r="D820" s="2" t="s">
        <v>37</v>
      </c>
      <c r="E820" s="5">
        <v>-30289</v>
      </c>
      <c r="F820" s="3" t="s">
        <v>193</v>
      </c>
      <c r="G820" s="3" t="s">
        <v>57</v>
      </c>
      <c r="H820" s="2" t="s">
        <v>21</v>
      </c>
      <c r="I820" s="2" t="s">
        <v>2182</v>
      </c>
      <c r="J820" s="3" t="str">
        <f>HYPERLINK("https://www.boe.es/gazeta/dias/1817/01/25/pdfs/GMD-1817-11.pdf#page=6","Abrir facsímil")</f>
        <v>Abrir facsímil</v>
      </c>
      <c r="K820" s="3" t="s">
        <v>23</v>
      </c>
    </row>
    <row r="821" spans="1:11" ht="42" customHeight="1">
      <c r="A821" s="2" t="s">
        <v>2183</v>
      </c>
      <c r="B821" s="2" t="s">
        <v>2184</v>
      </c>
      <c r="C821" s="2" t="s">
        <v>17</v>
      </c>
      <c r="D821" s="2" t="s">
        <v>18</v>
      </c>
      <c r="E821" s="5">
        <v>-30198</v>
      </c>
      <c r="F821" s="3" t="s">
        <v>2185</v>
      </c>
      <c r="G821" s="3" t="s">
        <v>2186</v>
      </c>
      <c r="H821" s="2" t="s">
        <v>21</v>
      </c>
      <c r="I821" s="2" t="s">
        <v>2187</v>
      </c>
      <c r="J821" s="3" t="str">
        <f>HYPERLINK("https://www.boe.es/gazeta/dias/1817/04/26/pdfs/GMD-1817-50.pdf#page=8","Abrir facsímil")</f>
        <v>Abrir facsímil</v>
      </c>
      <c r="K821" s="3" t="s">
        <v>23</v>
      </c>
    </row>
    <row r="822" spans="1:11" ht="42" customHeight="1">
      <c r="A822" s="2" t="s">
        <v>2188</v>
      </c>
      <c r="B822" s="2" t="s">
        <v>2189</v>
      </c>
      <c r="C822" s="2" t="s">
        <v>43</v>
      </c>
      <c r="D822" s="2" t="s">
        <v>44</v>
      </c>
      <c r="E822" s="5">
        <v>-29985</v>
      </c>
      <c r="F822" s="3" t="s">
        <v>76</v>
      </c>
      <c r="G822" s="3" t="s">
        <v>112</v>
      </c>
      <c r="H822" s="2" t="s">
        <v>21</v>
      </c>
      <c r="I822" s="2" t="s">
        <v>2190</v>
      </c>
      <c r="J822" s="3" t="str">
        <f>HYPERLINK("https://www.boe.es/gazeta/dias/1817/11/25/pdfs/GMD-1817-141.pdf#page=11","Abrir facsímil")</f>
        <v>Abrir facsímil</v>
      </c>
      <c r="K822" s="3" t="s">
        <v>23</v>
      </c>
    </row>
    <row r="823" spans="1:11" ht="42" customHeight="1">
      <c r="A823" s="2" t="s">
        <v>2191</v>
      </c>
      <c r="B823" s="2" t="s">
        <v>2192</v>
      </c>
      <c r="C823" s="2" t="s">
        <v>36</v>
      </c>
      <c r="D823" s="2" t="s">
        <v>37</v>
      </c>
      <c r="E823" s="5">
        <v>-30039</v>
      </c>
      <c r="F823" s="3" t="s">
        <v>558</v>
      </c>
      <c r="G823" s="3" t="s">
        <v>1592</v>
      </c>
      <c r="H823" s="2" t="s">
        <v>21</v>
      </c>
      <c r="I823" s="2" t="s">
        <v>2193</v>
      </c>
      <c r="J823" s="3" t="str">
        <f>HYPERLINK("https://www.boe.es/gazeta/dias/1817/10/02/pdfs/GMD-1817-118.pdf#page=6","Abrir facsímil")</f>
        <v>Abrir facsímil</v>
      </c>
      <c r="K823" s="3" t="s">
        <v>23</v>
      </c>
    </row>
    <row r="824" spans="1:11" ht="42" customHeight="1">
      <c r="A824" s="2" t="s">
        <v>2194</v>
      </c>
      <c r="B824" s="2" t="s">
        <v>2194</v>
      </c>
      <c r="C824" s="2" t="s">
        <v>43</v>
      </c>
      <c r="D824" s="2" t="s">
        <v>44</v>
      </c>
      <c r="E824" s="5">
        <v>-30011</v>
      </c>
      <c r="F824" s="3" t="s">
        <v>313</v>
      </c>
      <c r="G824" s="3" t="s">
        <v>1736</v>
      </c>
      <c r="H824" s="2" t="s">
        <v>21</v>
      </c>
      <c r="I824" s="2" t="s">
        <v>2195</v>
      </c>
      <c r="J824" s="3" t="str">
        <f>HYPERLINK("https://www.boe.es/gazeta/dias/1817/10/30/pdfs/GMD-1817-130.pdf#page=11","Abrir facsímil")</f>
        <v>Abrir facsímil</v>
      </c>
      <c r="K824" s="3" t="s">
        <v>23</v>
      </c>
    </row>
    <row r="825" spans="1:11" ht="42" customHeight="1">
      <c r="A825" s="2" t="s">
        <v>2194</v>
      </c>
      <c r="B825" s="2" t="s">
        <v>2194</v>
      </c>
      <c r="C825" s="2" t="s">
        <v>43</v>
      </c>
      <c r="D825" s="2" t="s">
        <v>44</v>
      </c>
      <c r="E825" s="5">
        <v>-30011</v>
      </c>
      <c r="F825" s="3" t="s">
        <v>313</v>
      </c>
      <c r="G825" s="3" t="s">
        <v>57</v>
      </c>
      <c r="H825" s="2" t="s">
        <v>21</v>
      </c>
      <c r="I825" s="2" t="s">
        <v>2196</v>
      </c>
      <c r="J825" s="3" t="str">
        <f>HYPERLINK("https://www.boe.es/gazeta/dias/1817/10/30/pdfs/GMD-1817-130.pdf#page=6","Abrir facsímil")</f>
        <v>Abrir facsímil</v>
      </c>
      <c r="K825" s="3" t="s">
        <v>23</v>
      </c>
    </row>
    <row r="826" spans="1:11" ht="42" customHeight="1">
      <c r="A826" s="2" t="s">
        <v>2194</v>
      </c>
      <c r="B826" s="2" t="s">
        <v>2194</v>
      </c>
      <c r="C826" s="2" t="s">
        <v>36</v>
      </c>
      <c r="D826" s="2" t="s">
        <v>37</v>
      </c>
      <c r="E826" s="5">
        <v>-30011</v>
      </c>
      <c r="F826" s="3" t="s">
        <v>313</v>
      </c>
      <c r="G826" s="3" t="s">
        <v>20</v>
      </c>
      <c r="H826" s="2" t="s">
        <v>21</v>
      </c>
      <c r="I826" s="2" t="s">
        <v>2197</v>
      </c>
      <c r="J826" s="3" t="str">
        <f>HYPERLINK("https://www.boe.es/gazeta/dias/1817/10/30/pdfs/GMD-1817-130.pdf#page=7","Abrir facsímil")</f>
        <v>Abrir facsímil</v>
      </c>
      <c r="K826" s="3" t="s">
        <v>23</v>
      </c>
    </row>
    <row r="827" spans="1:11" ht="42" customHeight="1">
      <c r="A827" s="2" t="s">
        <v>2194</v>
      </c>
      <c r="B827" s="2" t="s">
        <v>2194</v>
      </c>
      <c r="C827" s="2" t="s">
        <v>36</v>
      </c>
      <c r="D827" s="2" t="s">
        <v>37</v>
      </c>
      <c r="E827" s="5">
        <v>-30011</v>
      </c>
      <c r="F827" s="3" t="s">
        <v>313</v>
      </c>
      <c r="G827" s="3" t="s">
        <v>77</v>
      </c>
      <c r="H827" s="2" t="s">
        <v>21</v>
      </c>
      <c r="I827" s="2" t="s">
        <v>2198</v>
      </c>
      <c r="J827" s="3" t="str">
        <f>HYPERLINK("https://www.boe.es/gazeta/dias/1817/10/30/pdfs/GMD-1817-130.pdf#page=8","Abrir facsímil")</f>
        <v>Abrir facsímil</v>
      </c>
      <c r="K827" s="3" t="s">
        <v>23</v>
      </c>
    </row>
    <row r="828" spans="1:11" ht="42" customHeight="1">
      <c r="A828" s="2" t="s">
        <v>2199</v>
      </c>
      <c r="B828" s="2" t="s">
        <v>2200</v>
      </c>
      <c r="C828" s="2" t="s">
        <v>36</v>
      </c>
      <c r="D828" s="2" t="s">
        <v>37</v>
      </c>
      <c r="E828" s="5">
        <v>-30011</v>
      </c>
      <c r="F828" s="3" t="s">
        <v>313</v>
      </c>
      <c r="G828" s="3" t="s">
        <v>77</v>
      </c>
      <c r="H828" s="2" t="s">
        <v>21</v>
      </c>
      <c r="I828" s="2" t="s">
        <v>2201</v>
      </c>
      <c r="J828" s="3" t="str">
        <f>HYPERLINK("https://www.boe.es/gazeta/dias/1817/10/30/pdfs/GMD-1817-130.pdf#page=8","Abrir facsímil")</f>
        <v>Abrir facsímil</v>
      </c>
      <c r="K828" s="3" t="s">
        <v>23</v>
      </c>
    </row>
    <row r="829" spans="1:11" ht="42" customHeight="1">
      <c r="A829" s="2" t="s">
        <v>2199</v>
      </c>
      <c r="B829" s="2" t="s">
        <v>2200</v>
      </c>
      <c r="C829" s="2" t="s">
        <v>36</v>
      </c>
      <c r="D829" s="2" t="s">
        <v>37</v>
      </c>
      <c r="E829" s="5">
        <v>-30006</v>
      </c>
      <c r="F829" s="3" t="s">
        <v>210</v>
      </c>
      <c r="G829" s="3" t="s">
        <v>20</v>
      </c>
      <c r="H829" s="2" t="s">
        <v>21</v>
      </c>
      <c r="I829" s="2" t="s">
        <v>2202</v>
      </c>
      <c r="J829" s="3" t="str">
        <f>HYPERLINK("https://www.boe.es/gazeta/dias/1817/11/04/pdfs/GMD-1817-132.pdf#page=7","Abrir facsímil")</f>
        <v>Abrir facsímil</v>
      </c>
      <c r="K829" s="3" t="s">
        <v>23</v>
      </c>
    </row>
    <row r="830" spans="1:11" ht="42" customHeight="1">
      <c r="A830" s="2" t="s">
        <v>2203</v>
      </c>
      <c r="B830" s="2" t="s">
        <v>2203</v>
      </c>
      <c r="C830" s="2" t="s">
        <v>36</v>
      </c>
      <c r="D830" s="2" t="s">
        <v>37</v>
      </c>
      <c r="E830" s="5">
        <v>-30011</v>
      </c>
      <c r="F830" s="3" t="s">
        <v>313</v>
      </c>
      <c r="G830" s="3" t="s">
        <v>314</v>
      </c>
      <c r="H830" s="2" t="s">
        <v>21</v>
      </c>
      <c r="I830" s="2" t="s">
        <v>2204</v>
      </c>
      <c r="J830" s="3" t="str">
        <f>HYPERLINK("https://www.boe.es/gazeta/dias/1817/10/30/pdfs/GMD-1817-130.pdf#page=10","Abrir facsímil")</f>
        <v>Abrir facsímil</v>
      </c>
      <c r="K830" s="3" t="s">
        <v>23</v>
      </c>
    </row>
    <row r="831" spans="1:11" ht="42" customHeight="1">
      <c r="A831" s="2" t="s">
        <v>2205</v>
      </c>
      <c r="B831" s="2" t="s">
        <v>2206</v>
      </c>
      <c r="C831" s="2" t="s">
        <v>36</v>
      </c>
      <c r="D831" s="2" t="s">
        <v>37</v>
      </c>
      <c r="E831" s="5">
        <v>-29981</v>
      </c>
      <c r="F831" s="3" t="s">
        <v>111</v>
      </c>
      <c r="G831" s="3" t="s">
        <v>57</v>
      </c>
      <c r="H831" s="2" t="s">
        <v>21</v>
      </c>
      <c r="I831" s="2" t="s">
        <v>2207</v>
      </c>
      <c r="J831" s="3" t="str">
        <f>HYPERLINK("https://www.boe.es/gazeta/dias/1817/11/29/pdfs/GMD-1817-143.pdf#page=6","Abrir facsímil")</f>
        <v>Abrir facsímil</v>
      </c>
      <c r="K831" s="3" t="s">
        <v>23</v>
      </c>
    </row>
    <row r="832" spans="1:11" ht="42" customHeight="1">
      <c r="A832" s="2" t="s">
        <v>2208</v>
      </c>
      <c r="B832" s="2" t="s">
        <v>2208</v>
      </c>
      <c r="C832" s="2" t="s">
        <v>36</v>
      </c>
      <c r="D832" s="2" t="s">
        <v>37</v>
      </c>
      <c r="E832" s="5">
        <v>-30121</v>
      </c>
      <c r="F832" s="3" t="s">
        <v>851</v>
      </c>
      <c r="G832" s="3" t="s">
        <v>551</v>
      </c>
      <c r="H832" s="2" t="s">
        <v>21</v>
      </c>
      <c r="I832" s="2" t="s">
        <v>2209</v>
      </c>
      <c r="J832" s="3" t="str">
        <f>HYPERLINK("https://www.boe.es/gazeta/dias/1817/07/12/pdfs/GMD-1817-83.pdf#page=3","Abrir facsímil")</f>
        <v>Abrir facsímil</v>
      </c>
      <c r="K832" s="3" t="s">
        <v>23</v>
      </c>
    </row>
    <row r="833" spans="1:11" ht="42" customHeight="1">
      <c r="A833" s="2" t="s">
        <v>2210</v>
      </c>
      <c r="B833" s="2" t="s">
        <v>2211</v>
      </c>
      <c r="C833" s="2" t="s">
        <v>55</v>
      </c>
      <c r="D833" s="2" t="s">
        <v>44</v>
      </c>
      <c r="E833" s="5">
        <v>-30009</v>
      </c>
      <c r="F833" s="3" t="s">
        <v>512</v>
      </c>
      <c r="G833" s="3" t="s">
        <v>77</v>
      </c>
      <c r="H833" s="2" t="s">
        <v>21</v>
      </c>
      <c r="I833" s="2" t="s">
        <v>2212</v>
      </c>
      <c r="J833" s="3" t="str">
        <f>HYPERLINK("https://www.boe.es/gazeta/dias/1817/11/01/pdfs/GMD-1817-131.pdf#page=8","Abrir facsímil")</f>
        <v>Abrir facsímil</v>
      </c>
      <c r="K833" s="3" t="s">
        <v>23</v>
      </c>
    </row>
    <row r="834" spans="1:11" ht="42" customHeight="1">
      <c r="A834" s="2" t="s">
        <v>2213</v>
      </c>
      <c r="B834" s="2" t="s">
        <v>2214</v>
      </c>
      <c r="C834" s="2" t="s">
        <v>138</v>
      </c>
      <c r="D834" s="2" t="s">
        <v>44</v>
      </c>
      <c r="E834" s="5">
        <v>-30041</v>
      </c>
      <c r="F834" s="3" t="s">
        <v>260</v>
      </c>
      <c r="G834" s="3" t="s">
        <v>77</v>
      </c>
      <c r="H834" s="2" t="s">
        <v>21</v>
      </c>
      <c r="I834" s="2" t="s">
        <v>2215</v>
      </c>
      <c r="J834" s="3" t="str">
        <f>HYPERLINK("https://www.boe.es/gazeta/dias/1817/09/30/pdfs/GMD-1817-117.pdf#page=8","Abrir facsímil")</f>
        <v>Abrir facsímil</v>
      </c>
      <c r="K834" s="3" t="s">
        <v>23</v>
      </c>
    </row>
    <row r="835" spans="1:11" ht="42" customHeight="1">
      <c r="A835" s="2" t="s">
        <v>2216</v>
      </c>
      <c r="B835" s="2" t="s">
        <v>2217</v>
      </c>
      <c r="C835" s="2" t="s">
        <v>36</v>
      </c>
      <c r="D835" s="2" t="s">
        <v>37</v>
      </c>
      <c r="E835" s="5">
        <v>-30041</v>
      </c>
      <c r="F835" s="3" t="s">
        <v>260</v>
      </c>
      <c r="G835" s="3" t="s">
        <v>77</v>
      </c>
      <c r="H835" s="2" t="s">
        <v>21</v>
      </c>
      <c r="I835" s="2" t="s">
        <v>2218</v>
      </c>
      <c r="J835" s="3" t="str">
        <f>HYPERLINK("https://www.boe.es/gazeta/dias/1817/09/30/pdfs/GMD-1817-117.pdf#page=8","Abrir facsímil")</f>
        <v>Abrir facsímil</v>
      </c>
      <c r="K835" s="3" t="s">
        <v>23</v>
      </c>
    </row>
    <row r="836" spans="1:11" ht="42" customHeight="1">
      <c r="A836" s="2" t="s">
        <v>2219</v>
      </c>
      <c r="B836" s="2" t="s">
        <v>2219</v>
      </c>
      <c r="C836" s="2" t="s">
        <v>36</v>
      </c>
      <c r="D836" s="2" t="s">
        <v>37</v>
      </c>
      <c r="E836" s="5">
        <v>-30165</v>
      </c>
      <c r="F836" s="3" t="s">
        <v>2040</v>
      </c>
      <c r="G836" s="3" t="s">
        <v>551</v>
      </c>
      <c r="H836" s="2" t="s">
        <v>21</v>
      </c>
      <c r="I836" s="2" t="s">
        <v>2220</v>
      </c>
      <c r="J836" s="3" t="str">
        <f>HYPERLINK("https://www.boe.es/gazeta/dias/1817/05/29/pdfs/GMD-1817-64.pdf#page=3","Abrir facsímil")</f>
        <v>Abrir facsímil</v>
      </c>
      <c r="K836" s="3" t="s">
        <v>23</v>
      </c>
    </row>
    <row r="837" spans="1:11" ht="42" customHeight="1">
      <c r="A837" s="2" t="s">
        <v>2221</v>
      </c>
      <c r="B837" s="2" t="s">
        <v>2222</v>
      </c>
      <c r="C837" s="2" t="s">
        <v>43</v>
      </c>
      <c r="D837" s="2" t="s">
        <v>44</v>
      </c>
      <c r="E837" s="5">
        <v>-30130</v>
      </c>
      <c r="F837" s="3" t="s">
        <v>768</v>
      </c>
      <c r="G837" s="3" t="s">
        <v>629</v>
      </c>
      <c r="H837" s="2" t="s">
        <v>21</v>
      </c>
      <c r="I837" s="2" t="s">
        <v>2223</v>
      </c>
      <c r="J837" s="3" t="str">
        <f>HYPERLINK("https://www.boe.es/gazeta/dias/1817/07/03/pdfs/GMD-1817-79.pdf#page=2","Abrir facsímil")</f>
        <v>Abrir facsímil</v>
      </c>
      <c r="K837" s="3" t="s">
        <v>23</v>
      </c>
    </row>
    <row r="838" spans="1:11" ht="42" customHeight="1">
      <c r="A838" s="2" t="s">
        <v>2224</v>
      </c>
      <c r="B838" s="2" t="s">
        <v>2224</v>
      </c>
      <c r="C838" s="2" t="s">
        <v>36</v>
      </c>
      <c r="D838" s="2" t="s">
        <v>37</v>
      </c>
      <c r="E838" s="5">
        <v>-30156</v>
      </c>
      <c r="F838" s="3" t="s">
        <v>635</v>
      </c>
      <c r="G838" s="3" t="s">
        <v>144</v>
      </c>
      <c r="H838" s="2" t="s">
        <v>21</v>
      </c>
      <c r="I838" s="2" t="s">
        <v>2225</v>
      </c>
      <c r="J838" s="3" t="str">
        <f>HYPERLINK("https://www.boe.es/gazeta/dias/1817/06/07/pdfs/GMD-1817-68.pdf#page=4","Abrir facsímil")</f>
        <v>Abrir facsímil</v>
      </c>
      <c r="K838" s="3" t="s">
        <v>23</v>
      </c>
    </row>
    <row r="839" spans="1:11" ht="42" customHeight="1">
      <c r="A839" s="2" t="s">
        <v>2226</v>
      </c>
      <c r="B839" s="2" t="s">
        <v>2227</v>
      </c>
      <c r="C839" s="2" t="s">
        <v>55</v>
      </c>
      <c r="D839" s="2" t="s">
        <v>44</v>
      </c>
      <c r="E839" s="5">
        <v>-30251</v>
      </c>
      <c r="F839" s="3" t="s">
        <v>2096</v>
      </c>
      <c r="G839" s="3" t="s">
        <v>77</v>
      </c>
      <c r="H839" s="2" t="s">
        <v>21</v>
      </c>
      <c r="I839" s="2" t="s">
        <v>2228</v>
      </c>
      <c r="J839" s="3" t="str">
        <f>HYPERLINK("https://www.boe.es/gazeta/dias/1817/03/04/pdfs/GMD-1817-27.pdf#page=8","Abrir facsímil")</f>
        <v>Abrir facsímil</v>
      </c>
      <c r="K839" s="3" t="s">
        <v>23</v>
      </c>
    </row>
    <row r="840" spans="1:11" ht="42" customHeight="1">
      <c r="A840" s="2" t="s">
        <v>2229</v>
      </c>
      <c r="B840" s="2" t="s">
        <v>2230</v>
      </c>
      <c r="C840" s="2" t="s">
        <v>43</v>
      </c>
      <c r="D840" s="2" t="s">
        <v>44</v>
      </c>
      <c r="E840" s="5">
        <v>-30130</v>
      </c>
      <c r="F840" s="3" t="s">
        <v>768</v>
      </c>
      <c r="G840" s="3" t="s">
        <v>144</v>
      </c>
      <c r="H840" s="2" t="s">
        <v>21</v>
      </c>
      <c r="I840" s="2" t="s">
        <v>2231</v>
      </c>
      <c r="J840" s="3" t="str">
        <f>HYPERLINK("https://www.boe.es/gazeta/dias/1817/07/03/pdfs/GMD-1817-79.pdf#page=4","Abrir facsímil")</f>
        <v>Abrir facsímil</v>
      </c>
      <c r="K840" s="3" t="s">
        <v>23</v>
      </c>
    </row>
    <row r="841" spans="1:11" ht="42" customHeight="1">
      <c r="A841" s="2" t="s">
        <v>2232</v>
      </c>
      <c r="B841" s="2" t="s">
        <v>2232</v>
      </c>
      <c r="C841" s="2" t="s">
        <v>36</v>
      </c>
      <c r="D841" s="2" t="s">
        <v>37</v>
      </c>
      <c r="E841" s="5">
        <v>-30282</v>
      </c>
      <c r="F841" s="3" t="s">
        <v>1049</v>
      </c>
      <c r="G841" s="3" t="s">
        <v>39</v>
      </c>
      <c r="H841" s="2" t="s">
        <v>21</v>
      </c>
      <c r="I841" s="2" t="s">
        <v>2233</v>
      </c>
      <c r="J841" s="3" t="str">
        <f>HYPERLINK("https://www.boe.es/gazeta/dias/1817/02/01/pdfs/GMD-1817-14.pdf#page=5","Abrir facsímil")</f>
        <v>Abrir facsímil</v>
      </c>
      <c r="K841" s="3" t="s">
        <v>23</v>
      </c>
    </row>
    <row r="842" spans="1:11" ht="42" customHeight="1">
      <c r="A842" s="2" t="s">
        <v>2232</v>
      </c>
      <c r="B842" s="2" t="s">
        <v>2232</v>
      </c>
      <c r="C842" s="2" t="s">
        <v>36</v>
      </c>
      <c r="D842" s="2" t="s">
        <v>37</v>
      </c>
      <c r="E842" s="5">
        <v>-30226</v>
      </c>
      <c r="F842" s="3" t="s">
        <v>416</v>
      </c>
      <c r="G842" s="3" t="s">
        <v>20</v>
      </c>
      <c r="H842" s="2" t="s">
        <v>21</v>
      </c>
      <c r="I842" s="2" t="s">
        <v>2234</v>
      </c>
      <c r="J842" s="3" t="str">
        <f>HYPERLINK("https://www.boe.es/gazeta/dias/1817/03/29/pdfs/GMD-1817-38.pdf#page=7","Abrir facsímil")</f>
        <v>Abrir facsímil</v>
      </c>
      <c r="K842" s="3" t="s">
        <v>23</v>
      </c>
    </row>
    <row r="843" spans="1:11" ht="42" customHeight="1">
      <c r="A843" s="2" t="s">
        <v>2232</v>
      </c>
      <c r="B843" s="2" t="s">
        <v>2232</v>
      </c>
      <c r="C843" s="2" t="s">
        <v>36</v>
      </c>
      <c r="D843" s="2" t="s">
        <v>37</v>
      </c>
      <c r="E843" s="5">
        <v>-30221</v>
      </c>
      <c r="F843" s="3" t="s">
        <v>256</v>
      </c>
      <c r="G843" s="3" t="s">
        <v>57</v>
      </c>
      <c r="H843" s="2" t="s">
        <v>21</v>
      </c>
      <c r="I843" s="2" t="s">
        <v>2235</v>
      </c>
      <c r="J843" s="3" t="str">
        <f>HYPERLINK("https://www.boe.es/gazeta/dias/1817/04/03/pdfs/GMD-1817-40.pdf#page=6","Abrir facsímil")</f>
        <v>Abrir facsímil</v>
      </c>
      <c r="K843" s="3" t="s">
        <v>23</v>
      </c>
    </row>
    <row r="844" spans="1:11" ht="42" customHeight="1">
      <c r="A844" s="2" t="s">
        <v>2236</v>
      </c>
      <c r="B844" s="2" t="s">
        <v>2236</v>
      </c>
      <c r="C844" s="2" t="s">
        <v>43</v>
      </c>
      <c r="D844" s="2" t="s">
        <v>44</v>
      </c>
      <c r="E844" s="5">
        <v>-30095</v>
      </c>
      <c r="F844" s="3" t="s">
        <v>365</v>
      </c>
      <c r="G844" s="3" t="s">
        <v>144</v>
      </c>
      <c r="H844" s="2" t="s">
        <v>21</v>
      </c>
      <c r="I844" s="2" t="s">
        <v>2237</v>
      </c>
      <c r="J844" s="3" t="str">
        <f>HYPERLINK("https://www.boe.es/gazeta/dias/1817/08/07/pdfs/GMD-1817-94.pdf#page=4","Abrir facsímil")</f>
        <v>Abrir facsímil</v>
      </c>
      <c r="K844" s="3" t="s">
        <v>23</v>
      </c>
    </row>
    <row r="845" spans="1:11" ht="42" customHeight="1">
      <c r="A845" s="2" t="s">
        <v>2238</v>
      </c>
      <c r="B845" s="2" t="s">
        <v>2239</v>
      </c>
      <c r="C845" s="2" t="s">
        <v>55</v>
      </c>
      <c r="D845" s="2" t="s">
        <v>44</v>
      </c>
      <c r="E845" s="5">
        <v>-30254</v>
      </c>
      <c r="F845" s="3" t="s">
        <v>124</v>
      </c>
      <c r="G845" s="3" t="s">
        <v>125</v>
      </c>
      <c r="H845" s="2" t="s">
        <v>21</v>
      </c>
      <c r="I845" s="2" t="s">
        <v>2240</v>
      </c>
      <c r="J845" s="3" t="str">
        <f>HYPERLINK("https://www.boe.es/gazeta/dias/1817/03/01/pdfs/GMD-1817-26.pdf#page=5","Abrir facsímil")</f>
        <v>Abrir facsímil</v>
      </c>
      <c r="K845" s="3" t="s">
        <v>23</v>
      </c>
    </row>
    <row r="846" spans="1:11" ht="42" customHeight="1">
      <c r="A846" s="2" t="s">
        <v>2241</v>
      </c>
      <c r="B846" s="2" t="s">
        <v>2241</v>
      </c>
      <c r="C846" s="2" t="s">
        <v>43</v>
      </c>
      <c r="D846" s="2" t="s">
        <v>44</v>
      </c>
      <c r="E846" s="5">
        <v>-30202</v>
      </c>
      <c r="F846" s="3" t="s">
        <v>418</v>
      </c>
      <c r="G846" s="3" t="s">
        <v>20</v>
      </c>
      <c r="H846" s="2" t="s">
        <v>21</v>
      </c>
      <c r="I846" s="2" t="s">
        <v>2242</v>
      </c>
      <c r="J846" s="3" t="str">
        <f>HYPERLINK("https://www.boe.es/gazeta/dias/1817/04/22/pdfs/GMD-1817-48.pdf#page=7","Abrir facsímil")</f>
        <v>Abrir facsímil</v>
      </c>
      <c r="K846" s="3" t="s">
        <v>23</v>
      </c>
    </row>
    <row r="847" spans="1:11" ht="42" customHeight="1">
      <c r="A847" s="2" t="s">
        <v>2241</v>
      </c>
      <c r="B847" s="2" t="s">
        <v>2241</v>
      </c>
      <c r="C847" s="2" t="s">
        <v>138</v>
      </c>
      <c r="D847" s="2" t="s">
        <v>44</v>
      </c>
      <c r="E847" s="5">
        <v>-30053</v>
      </c>
      <c r="F847" s="3" t="s">
        <v>129</v>
      </c>
      <c r="G847" s="3" t="s">
        <v>887</v>
      </c>
      <c r="H847" s="2" t="s">
        <v>21</v>
      </c>
      <c r="I847" s="2" t="s">
        <v>2243</v>
      </c>
      <c r="J847" s="3" t="str">
        <f>HYPERLINK("https://www.boe.es/gazeta/dias/1817/09/18/pdfs/GMD-1817-112.pdf#page=9","Abrir facsímil")</f>
        <v>Abrir facsímil</v>
      </c>
      <c r="K847" s="3" t="s">
        <v>23</v>
      </c>
    </row>
    <row r="848" spans="1:11" ht="42" customHeight="1">
      <c r="A848" s="2" t="s">
        <v>2241</v>
      </c>
      <c r="B848" s="2" t="s">
        <v>2241</v>
      </c>
      <c r="C848" s="2" t="s">
        <v>49</v>
      </c>
      <c r="D848" s="2" t="s">
        <v>44</v>
      </c>
      <c r="E848" s="5">
        <v>-29985</v>
      </c>
      <c r="F848" s="3" t="s">
        <v>76</v>
      </c>
      <c r="G848" s="3" t="s">
        <v>57</v>
      </c>
      <c r="H848" s="2" t="s">
        <v>21</v>
      </c>
      <c r="I848" s="2" t="s">
        <v>2244</v>
      </c>
      <c r="J848" s="3" t="str">
        <f>HYPERLINK("https://www.boe.es/gazeta/dias/1817/11/25/pdfs/GMD-1817-141.pdf#page=6","Abrir facsímil")</f>
        <v>Abrir facsímil</v>
      </c>
      <c r="K848" s="3" t="s">
        <v>23</v>
      </c>
    </row>
    <row r="849" spans="1:11" ht="42" customHeight="1">
      <c r="A849" s="2" t="s">
        <v>2245</v>
      </c>
      <c r="B849" s="2" t="s">
        <v>2246</v>
      </c>
      <c r="C849" s="2" t="s">
        <v>17</v>
      </c>
      <c r="D849" s="2" t="s">
        <v>18</v>
      </c>
      <c r="E849" s="5">
        <v>-30027</v>
      </c>
      <c r="F849" s="3" t="s">
        <v>173</v>
      </c>
      <c r="G849" s="3" t="s">
        <v>77</v>
      </c>
      <c r="H849" s="2" t="s">
        <v>21</v>
      </c>
      <c r="I849" s="2" t="s">
        <v>2247</v>
      </c>
      <c r="J849" s="3" t="str">
        <f>HYPERLINK("https://www.boe.es/gazeta/dias/1817/10/14/pdfs/GMD-1817-123.pdf#page=8","Abrir facsímil")</f>
        <v>Abrir facsímil</v>
      </c>
      <c r="K849" s="3" t="s">
        <v>23</v>
      </c>
    </row>
    <row r="850" spans="1:11" ht="42" customHeight="1">
      <c r="A850" s="2" t="s">
        <v>2248</v>
      </c>
      <c r="B850" s="2" t="s">
        <v>2249</v>
      </c>
      <c r="C850" s="2" t="s">
        <v>17</v>
      </c>
      <c r="D850" s="2" t="s">
        <v>18</v>
      </c>
      <c r="E850" s="5">
        <v>-29976</v>
      </c>
      <c r="F850" s="3" t="s">
        <v>81</v>
      </c>
      <c r="G850" s="3" t="s">
        <v>82</v>
      </c>
      <c r="H850" s="2" t="s">
        <v>27</v>
      </c>
      <c r="I850" s="2" t="s">
        <v>2250</v>
      </c>
      <c r="J850" s="3" t="str">
        <f>HYPERLINK("https://www.boe.es/gazeta/dias/1817/12/04/pdfs/GMD-1817-145.pdf#page=12","Abrir facsímil")</f>
        <v>Abrir facsímil</v>
      </c>
      <c r="K850" s="3" t="s">
        <v>29</v>
      </c>
    </row>
    <row r="851" spans="1:11" ht="42" customHeight="1">
      <c r="A851" s="2" t="s">
        <v>2251</v>
      </c>
      <c r="B851" s="2" t="s">
        <v>2252</v>
      </c>
      <c r="C851" s="2" t="s">
        <v>17</v>
      </c>
      <c r="D851" s="2" t="s">
        <v>18</v>
      </c>
      <c r="E851" s="5">
        <v>-30065</v>
      </c>
      <c r="F851" s="3" t="s">
        <v>201</v>
      </c>
      <c r="G851" s="3" t="s">
        <v>57</v>
      </c>
      <c r="H851" s="2" t="s">
        <v>21</v>
      </c>
      <c r="I851" s="2" t="s">
        <v>2253</v>
      </c>
      <c r="J851" s="3" t="str">
        <f>HYPERLINK("https://www.boe.es/gazeta/dias/1817/09/06/pdfs/GMD-1817-107.pdf#page=6","Abrir facsímil")</f>
        <v>Abrir facsímil</v>
      </c>
      <c r="K851" s="3" t="s">
        <v>23</v>
      </c>
    </row>
    <row r="852" spans="1:11" ht="42" customHeight="1">
      <c r="A852" s="2" t="s">
        <v>2254</v>
      </c>
      <c r="B852" s="2" t="s">
        <v>2255</v>
      </c>
      <c r="C852" s="2" t="s">
        <v>36</v>
      </c>
      <c r="D852" s="2" t="s">
        <v>37</v>
      </c>
      <c r="E852" s="5">
        <v>-30298</v>
      </c>
      <c r="F852" s="3" t="s">
        <v>489</v>
      </c>
      <c r="G852" s="3" t="s">
        <v>644</v>
      </c>
      <c r="H852" s="2" t="s">
        <v>21</v>
      </c>
      <c r="I852" s="2" t="s">
        <v>2256</v>
      </c>
      <c r="J852" s="3" t="str">
        <f>HYPERLINK("https://www.boe.es/gazeta/dias/1817/01/16/pdfs/GMD-1817-7.pdf#page=5","Abrir facsímil")</f>
        <v>Abrir facsímil</v>
      </c>
      <c r="K852" s="3" t="s">
        <v>23</v>
      </c>
    </row>
    <row r="853" spans="1:11" ht="42" customHeight="1">
      <c r="A853" s="2" t="s">
        <v>2257</v>
      </c>
      <c r="B853" s="2" t="s">
        <v>2258</v>
      </c>
      <c r="C853" s="2" t="s">
        <v>36</v>
      </c>
      <c r="D853" s="2" t="s">
        <v>37</v>
      </c>
      <c r="E853" s="5">
        <v>-30268</v>
      </c>
      <c r="F853" s="3" t="s">
        <v>1160</v>
      </c>
      <c r="G853" s="3" t="s">
        <v>57</v>
      </c>
      <c r="H853" s="2" t="s">
        <v>21</v>
      </c>
      <c r="I853" s="2" t="s">
        <v>2259</v>
      </c>
      <c r="J853" s="3" t="str">
        <f>HYPERLINK("https://www.boe.es/gazeta/dias/1817/02/15/pdfs/GMD-1817-20.pdf#page=6","Abrir facsímil")</f>
        <v>Abrir facsímil</v>
      </c>
      <c r="K853" s="3" t="s">
        <v>23</v>
      </c>
    </row>
    <row r="854" spans="1:11" ht="42" customHeight="1">
      <c r="A854" s="2" t="s">
        <v>2260</v>
      </c>
      <c r="B854" s="2" t="s">
        <v>2260</v>
      </c>
      <c r="C854" s="2" t="s">
        <v>36</v>
      </c>
      <c r="D854" s="2" t="s">
        <v>37</v>
      </c>
      <c r="E854" s="5">
        <v>-30300</v>
      </c>
      <c r="F854" s="3" t="s">
        <v>164</v>
      </c>
      <c r="G854" s="3" t="s">
        <v>629</v>
      </c>
      <c r="H854" s="2" t="s">
        <v>21</v>
      </c>
      <c r="I854" s="2" t="s">
        <v>2261</v>
      </c>
      <c r="J854" s="3" t="str">
        <f>HYPERLINK("https://www.boe.es/gazeta/dias/1817/01/14/pdfs/GMD-1817-6.pdf#page=2","Abrir facsímil")</f>
        <v>Abrir facsímil</v>
      </c>
      <c r="K854" s="3" t="s">
        <v>23</v>
      </c>
    </row>
    <row r="855" spans="1:11" ht="42" customHeight="1">
      <c r="A855" s="2" t="s">
        <v>2260</v>
      </c>
      <c r="B855" s="2" t="s">
        <v>2260</v>
      </c>
      <c r="C855" s="2" t="s">
        <v>43</v>
      </c>
      <c r="D855" s="2" t="s">
        <v>44</v>
      </c>
      <c r="E855" s="5">
        <v>-30293</v>
      </c>
      <c r="F855" s="3" t="s">
        <v>143</v>
      </c>
      <c r="G855" s="3" t="s">
        <v>39</v>
      </c>
      <c r="H855" s="2" t="s">
        <v>21</v>
      </c>
      <c r="I855" s="2" t="s">
        <v>2262</v>
      </c>
      <c r="J855" s="3" t="str">
        <f>HYPERLINK("https://www.boe.es/gazeta/dias/1817/01/21/pdfs/GMD-1817-9.pdf#page=5","Abrir facsímil")</f>
        <v>Abrir facsímil</v>
      </c>
      <c r="K855" s="3" t="s">
        <v>23</v>
      </c>
    </row>
    <row r="856" spans="1:11" ht="42" customHeight="1">
      <c r="A856" s="2" t="s">
        <v>2263</v>
      </c>
      <c r="B856" s="2" t="s">
        <v>2263</v>
      </c>
      <c r="C856" s="2" t="s">
        <v>43</v>
      </c>
      <c r="D856" s="2" t="s">
        <v>44</v>
      </c>
      <c r="E856" s="5">
        <v>-30289</v>
      </c>
      <c r="F856" s="3" t="s">
        <v>193</v>
      </c>
      <c r="G856" s="3" t="s">
        <v>20</v>
      </c>
      <c r="H856" s="2" t="s">
        <v>21</v>
      </c>
      <c r="I856" s="2" t="s">
        <v>2264</v>
      </c>
      <c r="J856" s="3" t="str">
        <f>HYPERLINK("https://www.boe.es/gazeta/dias/1817/01/25/pdfs/GMD-1817-11.pdf#page=7","Abrir facsímil")</f>
        <v>Abrir facsímil</v>
      </c>
      <c r="K856" s="3" t="s">
        <v>23</v>
      </c>
    </row>
    <row r="857" spans="1:11" ht="42" customHeight="1">
      <c r="A857" s="2" t="s">
        <v>2260</v>
      </c>
      <c r="B857" s="2" t="s">
        <v>2260</v>
      </c>
      <c r="C857" s="2" t="s">
        <v>36</v>
      </c>
      <c r="D857" s="2" t="s">
        <v>37</v>
      </c>
      <c r="E857" s="5">
        <v>-30284</v>
      </c>
      <c r="F857" s="3" t="s">
        <v>741</v>
      </c>
      <c r="G857" s="3" t="s">
        <v>20</v>
      </c>
      <c r="H857" s="2" t="s">
        <v>21</v>
      </c>
      <c r="I857" s="2" t="s">
        <v>2265</v>
      </c>
      <c r="J857" s="3" t="str">
        <f>HYPERLINK("https://www.boe.es/gazeta/dias/1817/01/30/pdfs/GMD-1817-13.pdf#page=7","Abrir facsímil")</f>
        <v>Abrir facsímil</v>
      </c>
      <c r="K857" s="3" t="s">
        <v>23</v>
      </c>
    </row>
    <row r="858" spans="1:11" ht="42" customHeight="1">
      <c r="A858" s="2" t="s">
        <v>2260</v>
      </c>
      <c r="B858" s="2" t="s">
        <v>2260</v>
      </c>
      <c r="C858" s="2" t="s">
        <v>55</v>
      </c>
      <c r="D858" s="2" t="s">
        <v>44</v>
      </c>
      <c r="E858" s="5">
        <v>-30284</v>
      </c>
      <c r="F858" s="3" t="s">
        <v>741</v>
      </c>
      <c r="G858" s="3" t="s">
        <v>77</v>
      </c>
      <c r="H858" s="2" t="s">
        <v>21</v>
      </c>
      <c r="I858" s="2" t="s">
        <v>2266</v>
      </c>
      <c r="J858" s="3" t="str">
        <f>HYPERLINK("https://www.boe.es/gazeta/dias/1817/01/30/pdfs/GMD-1817-13.pdf#page=8","Abrir facsímil")</f>
        <v>Abrir facsímil</v>
      </c>
      <c r="K858" s="3" t="s">
        <v>23</v>
      </c>
    </row>
    <row r="859" spans="1:11" ht="42" customHeight="1">
      <c r="A859" s="2" t="s">
        <v>2260</v>
      </c>
      <c r="B859" s="2" t="s">
        <v>2260</v>
      </c>
      <c r="C859" s="2" t="s">
        <v>43</v>
      </c>
      <c r="D859" s="2" t="s">
        <v>44</v>
      </c>
      <c r="E859" s="5">
        <v>-30282</v>
      </c>
      <c r="F859" s="3" t="s">
        <v>1049</v>
      </c>
      <c r="G859" s="3" t="s">
        <v>39</v>
      </c>
      <c r="H859" s="2" t="s">
        <v>21</v>
      </c>
      <c r="I859" s="2" t="s">
        <v>2267</v>
      </c>
      <c r="J859" s="3" t="str">
        <f>HYPERLINK("https://www.boe.es/gazeta/dias/1817/02/01/pdfs/GMD-1817-14.pdf#page=5","Abrir facsímil")</f>
        <v>Abrir facsímil</v>
      </c>
      <c r="K859" s="3" t="s">
        <v>23</v>
      </c>
    </row>
    <row r="860" spans="1:11" ht="42" customHeight="1">
      <c r="A860" s="2" t="s">
        <v>2263</v>
      </c>
      <c r="B860" s="2" t="s">
        <v>2263</v>
      </c>
      <c r="C860" s="2" t="s">
        <v>36</v>
      </c>
      <c r="D860" s="2" t="s">
        <v>37</v>
      </c>
      <c r="E860" s="5">
        <v>-30279</v>
      </c>
      <c r="F860" s="3" t="s">
        <v>1113</v>
      </c>
      <c r="G860" s="3" t="s">
        <v>2268</v>
      </c>
      <c r="H860" s="2" t="s">
        <v>21</v>
      </c>
      <c r="I860" s="2" t="s">
        <v>2269</v>
      </c>
      <c r="J860" s="3" t="str">
        <f>HYPERLINK("https://www.boe.es/gazeta/dias/1817/02/04/pdfs/GMD-1817-15.pdf#page=7","Abrir facsímil")</f>
        <v>Abrir facsímil</v>
      </c>
      <c r="K860" s="3" t="s">
        <v>23</v>
      </c>
    </row>
    <row r="861" spans="1:11" ht="42" customHeight="1">
      <c r="A861" s="2" t="s">
        <v>2260</v>
      </c>
      <c r="B861" s="2" t="s">
        <v>2260</v>
      </c>
      <c r="C861" s="2" t="s">
        <v>36</v>
      </c>
      <c r="D861" s="2" t="s">
        <v>37</v>
      </c>
      <c r="E861" s="5">
        <v>-30265</v>
      </c>
      <c r="F861" s="3" t="s">
        <v>107</v>
      </c>
      <c r="G861" s="3" t="s">
        <v>298</v>
      </c>
      <c r="H861" s="2" t="s">
        <v>21</v>
      </c>
      <c r="I861" s="2" t="s">
        <v>2270</v>
      </c>
      <c r="J861" s="3" t="str">
        <f>HYPERLINK("https://www.boe.es/gazeta/dias/1817/02/18/pdfs/GMD-1817-21.pdf#page=6","Abrir facsímil")</f>
        <v>Abrir facsímil</v>
      </c>
      <c r="K861" s="3" t="s">
        <v>23</v>
      </c>
    </row>
    <row r="862" spans="1:11" ht="42" customHeight="1">
      <c r="A862" s="2" t="s">
        <v>2263</v>
      </c>
      <c r="B862" s="2" t="s">
        <v>2263</v>
      </c>
      <c r="C862" s="2" t="s">
        <v>17</v>
      </c>
      <c r="D862" s="2" t="s">
        <v>18</v>
      </c>
      <c r="E862" s="5">
        <v>-30249</v>
      </c>
      <c r="F862" s="3" t="s">
        <v>120</v>
      </c>
      <c r="G862" s="3" t="s">
        <v>57</v>
      </c>
      <c r="H862" s="2" t="s">
        <v>21</v>
      </c>
      <c r="I862" s="2" t="s">
        <v>2271</v>
      </c>
      <c r="J862" s="3" t="str">
        <f>HYPERLINK("https://www.boe.es/gazeta/dias/1817/03/06/pdfs/GMD-1817-28.pdf#page=6","Abrir facsímil")</f>
        <v>Abrir facsímil</v>
      </c>
      <c r="K862" s="3" t="s">
        <v>23</v>
      </c>
    </row>
    <row r="863" spans="1:11" ht="42" customHeight="1">
      <c r="A863" s="2" t="s">
        <v>2260</v>
      </c>
      <c r="B863" s="2" t="s">
        <v>2260</v>
      </c>
      <c r="C863" s="2" t="s">
        <v>36</v>
      </c>
      <c r="D863" s="2" t="s">
        <v>37</v>
      </c>
      <c r="E863" s="5">
        <v>-30244</v>
      </c>
      <c r="F863" s="3" t="s">
        <v>1482</v>
      </c>
      <c r="G863" s="3" t="s">
        <v>2272</v>
      </c>
      <c r="H863" s="2" t="s">
        <v>21</v>
      </c>
      <c r="I863" s="2" t="s">
        <v>2273</v>
      </c>
      <c r="J863" s="3" t="str">
        <f>HYPERLINK("https://www.boe.es/gazeta/dias/1817/03/11/pdfs/GMD-1817-30.pdf#page=5","Abrir facsímil")</f>
        <v>Abrir facsímil</v>
      </c>
      <c r="K863" s="3" t="s">
        <v>23</v>
      </c>
    </row>
    <row r="864" spans="1:11" ht="42" customHeight="1">
      <c r="A864" s="2" t="s">
        <v>2263</v>
      </c>
      <c r="B864" s="2" t="s">
        <v>2263</v>
      </c>
      <c r="C864" s="2" t="s">
        <v>17</v>
      </c>
      <c r="D864" s="2" t="s">
        <v>18</v>
      </c>
      <c r="E864" s="5">
        <v>-30207</v>
      </c>
      <c r="F864" s="3" t="s">
        <v>1139</v>
      </c>
      <c r="G864" s="3" t="s">
        <v>57</v>
      </c>
      <c r="H864" s="2" t="s">
        <v>21</v>
      </c>
      <c r="I864" s="2" t="s">
        <v>2274</v>
      </c>
      <c r="J864" s="3" t="str">
        <f>HYPERLINK("https://www.boe.es/gazeta/dias/1817/04/17/pdfs/GMD-1817-46.pdf#page=6","Abrir facsímil")</f>
        <v>Abrir facsímil</v>
      </c>
      <c r="K864" s="3" t="s">
        <v>23</v>
      </c>
    </row>
    <row r="865" spans="1:11" ht="42" customHeight="1">
      <c r="A865" s="2" t="s">
        <v>2263</v>
      </c>
      <c r="B865" s="2" t="s">
        <v>2263</v>
      </c>
      <c r="C865" s="2" t="s">
        <v>49</v>
      </c>
      <c r="D865" s="2" t="s">
        <v>44</v>
      </c>
      <c r="E865" s="5">
        <v>-30202</v>
      </c>
      <c r="F865" s="3" t="s">
        <v>418</v>
      </c>
      <c r="G865" s="3" t="s">
        <v>2275</v>
      </c>
      <c r="H865" s="2" t="s">
        <v>21</v>
      </c>
      <c r="I865" s="2" t="s">
        <v>2276</v>
      </c>
      <c r="J865" s="3" t="str">
        <f>HYPERLINK("https://www.boe.es/gazeta/dias/1817/04/22/pdfs/GMD-1817-48.pdf#page=6","Abrir facsímil")</f>
        <v>Abrir facsímil</v>
      </c>
      <c r="K865" s="3" t="s">
        <v>23</v>
      </c>
    </row>
    <row r="866" spans="1:11" ht="42" customHeight="1">
      <c r="A866" s="2" t="s">
        <v>2260</v>
      </c>
      <c r="B866" s="2" t="s">
        <v>2260</v>
      </c>
      <c r="C866" s="2" t="s">
        <v>55</v>
      </c>
      <c r="D866" s="2" t="s">
        <v>44</v>
      </c>
      <c r="E866" s="5">
        <v>-30144</v>
      </c>
      <c r="F866" s="3" t="s">
        <v>846</v>
      </c>
      <c r="G866" s="3" t="s">
        <v>57</v>
      </c>
      <c r="H866" s="2" t="s">
        <v>21</v>
      </c>
      <c r="I866" s="2" t="s">
        <v>2277</v>
      </c>
      <c r="J866" s="3" t="str">
        <f>HYPERLINK("https://www.boe.es/gazeta/dias/1817/06/19/pdfs/GMD-1817-73.pdf#page=6","Abrir facsímil")</f>
        <v>Abrir facsímil</v>
      </c>
      <c r="K866" s="3" t="s">
        <v>23</v>
      </c>
    </row>
    <row r="867" spans="1:11" ht="42" customHeight="1">
      <c r="A867" s="2" t="s">
        <v>2263</v>
      </c>
      <c r="B867" s="2" t="s">
        <v>2263</v>
      </c>
      <c r="C867" s="2" t="s">
        <v>97</v>
      </c>
      <c r="D867" s="2" t="s">
        <v>44</v>
      </c>
      <c r="E867" s="5">
        <v>-30121</v>
      </c>
      <c r="F867" s="3" t="s">
        <v>851</v>
      </c>
      <c r="G867" s="3" t="s">
        <v>57</v>
      </c>
      <c r="H867" s="2" t="s">
        <v>21</v>
      </c>
      <c r="I867" s="2" t="s">
        <v>2278</v>
      </c>
      <c r="J867" s="3" t="str">
        <f>HYPERLINK("https://www.boe.es/gazeta/dias/1817/07/12/pdfs/GMD-1817-83.pdf#page=6","Abrir facsímil")</f>
        <v>Abrir facsímil</v>
      </c>
      <c r="K867" s="3" t="s">
        <v>23</v>
      </c>
    </row>
    <row r="868" spans="1:11" ht="42" customHeight="1">
      <c r="A868" s="2" t="s">
        <v>2260</v>
      </c>
      <c r="B868" s="2" t="s">
        <v>2260</v>
      </c>
      <c r="C868" s="2" t="s">
        <v>49</v>
      </c>
      <c r="D868" s="2" t="s">
        <v>44</v>
      </c>
      <c r="E868" s="5">
        <v>-30053</v>
      </c>
      <c r="F868" s="3" t="s">
        <v>129</v>
      </c>
      <c r="G868" s="3" t="s">
        <v>2279</v>
      </c>
      <c r="H868" s="2" t="s">
        <v>21</v>
      </c>
      <c r="I868" s="2" t="s">
        <v>2280</v>
      </c>
      <c r="J868" s="3" t="str">
        <f>HYPERLINK("https://www.boe.es/gazeta/dias/1817/09/18/pdfs/GMD-1817-112.pdf#page=4","Abrir facsímil")</f>
        <v>Abrir facsímil</v>
      </c>
      <c r="K868" s="3" t="s">
        <v>23</v>
      </c>
    </row>
    <row r="869" spans="1:11" ht="42" customHeight="1">
      <c r="A869" s="2" t="s">
        <v>2260</v>
      </c>
      <c r="B869" s="2" t="s">
        <v>2260</v>
      </c>
      <c r="C869" s="2" t="s">
        <v>17</v>
      </c>
      <c r="D869" s="2" t="s">
        <v>18</v>
      </c>
      <c r="E869" s="5">
        <v>-30039</v>
      </c>
      <c r="F869" s="3" t="s">
        <v>558</v>
      </c>
      <c r="G869" s="3" t="s">
        <v>77</v>
      </c>
      <c r="H869" s="2" t="s">
        <v>21</v>
      </c>
      <c r="I869" s="2" t="s">
        <v>2281</v>
      </c>
      <c r="J869" s="3" t="str">
        <f>HYPERLINK("https://www.boe.es/gazeta/dias/1817/10/02/pdfs/GMD-1817-118.pdf#page=8","Abrir facsímil")</f>
        <v>Abrir facsímil</v>
      </c>
      <c r="K869" s="3" t="s">
        <v>23</v>
      </c>
    </row>
    <row r="870" spans="1:11" ht="42" customHeight="1">
      <c r="A870" s="2" t="s">
        <v>2263</v>
      </c>
      <c r="B870" s="2" t="s">
        <v>2263</v>
      </c>
      <c r="C870" s="2" t="s">
        <v>36</v>
      </c>
      <c r="D870" s="2" t="s">
        <v>37</v>
      </c>
      <c r="E870" s="5">
        <v>-30023</v>
      </c>
      <c r="F870" s="3" t="s">
        <v>460</v>
      </c>
      <c r="G870" s="3" t="s">
        <v>144</v>
      </c>
      <c r="H870" s="2" t="s">
        <v>21</v>
      </c>
      <c r="I870" s="2" t="s">
        <v>2282</v>
      </c>
      <c r="J870" s="3" t="str">
        <f>HYPERLINK("https://www.boe.es/gazeta/dias/1817/10/18/pdfs/GMD-1817-125.pdf#page=4","Abrir facsímil")</f>
        <v>Abrir facsímil</v>
      </c>
      <c r="K870" s="3" t="s">
        <v>23</v>
      </c>
    </row>
    <row r="871" spans="1:11" ht="42" customHeight="1">
      <c r="A871" s="2" t="s">
        <v>2260</v>
      </c>
      <c r="B871" s="2" t="s">
        <v>2260</v>
      </c>
      <c r="C871" s="2" t="s">
        <v>138</v>
      </c>
      <c r="D871" s="2" t="s">
        <v>44</v>
      </c>
      <c r="E871" s="5">
        <v>-29976</v>
      </c>
      <c r="F871" s="3" t="s">
        <v>81</v>
      </c>
      <c r="G871" s="3" t="s">
        <v>77</v>
      </c>
      <c r="H871" s="2" t="s">
        <v>21</v>
      </c>
      <c r="I871" s="2" t="s">
        <v>2283</v>
      </c>
      <c r="J871" s="3" t="str">
        <f>HYPERLINK("https://www.boe.es/gazeta/dias/1817/12/04/pdfs/GMD-1817-145.pdf#page=8","Abrir facsímil")</f>
        <v>Abrir facsímil</v>
      </c>
      <c r="K871" s="3" t="s">
        <v>23</v>
      </c>
    </row>
    <row r="872" spans="1:11" ht="42" customHeight="1">
      <c r="A872" s="2" t="s">
        <v>2260</v>
      </c>
      <c r="B872" s="2" t="s">
        <v>2260</v>
      </c>
      <c r="C872" s="2" t="s">
        <v>17</v>
      </c>
      <c r="D872" s="2" t="s">
        <v>18</v>
      </c>
      <c r="E872" s="5">
        <v>-29971</v>
      </c>
      <c r="F872" s="3" t="s">
        <v>517</v>
      </c>
      <c r="G872" s="3" t="s">
        <v>20</v>
      </c>
      <c r="H872" s="2" t="s">
        <v>21</v>
      </c>
      <c r="I872" s="2" t="s">
        <v>2284</v>
      </c>
      <c r="J872" s="3" t="str">
        <f>HYPERLINK("https://www.boe.es/gazeta/dias/1817/12/09/pdfs/GMD-1817-147.pdf#page=7","Abrir facsímil")</f>
        <v>Abrir facsímil</v>
      </c>
      <c r="K872" s="3" t="s">
        <v>23</v>
      </c>
    </row>
    <row r="873" spans="1:11" ht="42" customHeight="1">
      <c r="A873" s="2" t="s">
        <v>2260</v>
      </c>
      <c r="B873" s="2" t="s">
        <v>2260</v>
      </c>
      <c r="C873" s="2" t="s">
        <v>36</v>
      </c>
      <c r="D873" s="2" t="s">
        <v>37</v>
      </c>
      <c r="E873" s="5">
        <v>-29964</v>
      </c>
      <c r="F873" s="3" t="s">
        <v>482</v>
      </c>
      <c r="G873" s="3" t="s">
        <v>112</v>
      </c>
      <c r="H873" s="2" t="s">
        <v>21</v>
      </c>
      <c r="I873" s="2" t="s">
        <v>2285</v>
      </c>
      <c r="J873" s="3" t="str">
        <f>HYPERLINK("https://www.boe.es/gazeta/dias/1817/12/16/pdfs/GMD-1817-150.pdf#page=11","Abrir facsímil")</f>
        <v>Abrir facsímil</v>
      </c>
      <c r="K873" s="3" t="s">
        <v>23</v>
      </c>
    </row>
    <row r="874" spans="1:11" ht="42" customHeight="1">
      <c r="A874" s="2" t="s">
        <v>2260</v>
      </c>
      <c r="B874" s="2" t="s">
        <v>2260</v>
      </c>
      <c r="C874" s="2" t="s">
        <v>36</v>
      </c>
      <c r="D874" s="2" t="s">
        <v>37</v>
      </c>
      <c r="E874" s="5">
        <v>-29962</v>
      </c>
      <c r="F874" s="3" t="s">
        <v>485</v>
      </c>
      <c r="G874" s="3" t="s">
        <v>20</v>
      </c>
      <c r="H874" s="2" t="s">
        <v>21</v>
      </c>
      <c r="I874" s="2" t="s">
        <v>2286</v>
      </c>
      <c r="J874" s="3" t="str">
        <f>HYPERLINK("https://www.boe.es/gazeta/dias/1817/12/18/pdfs/GMD-1817-151.pdf#page=7","Abrir facsímil")</f>
        <v>Abrir facsímil</v>
      </c>
      <c r="K874" s="3" t="s">
        <v>23</v>
      </c>
    </row>
    <row r="875" spans="1:11" ht="42" customHeight="1">
      <c r="A875" s="2" t="s">
        <v>2287</v>
      </c>
      <c r="B875" s="2" t="s">
        <v>2288</v>
      </c>
      <c r="C875" s="2" t="s">
        <v>36</v>
      </c>
      <c r="D875" s="2" t="s">
        <v>37</v>
      </c>
      <c r="E875" s="5">
        <v>-30200</v>
      </c>
      <c r="F875" s="3" t="s">
        <v>725</v>
      </c>
      <c r="G875" s="3" t="s">
        <v>57</v>
      </c>
      <c r="H875" s="2" t="s">
        <v>21</v>
      </c>
      <c r="I875" s="2" t="s">
        <v>2289</v>
      </c>
      <c r="J875" s="3" t="str">
        <f>HYPERLINK("https://www.boe.es/gazeta/dias/1817/04/24/pdfs/GMD-1817-49.pdf#page=6","Abrir facsímil")</f>
        <v>Abrir facsímil</v>
      </c>
      <c r="K875" s="3" t="s">
        <v>23</v>
      </c>
    </row>
    <row r="876" spans="1:11" ht="42" customHeight="1">
      <c r="A876" s="2" t="s">
        <v>2290</v>
      </c>
      <c r="B876" s="2" t="s">
        <v>2291</v>
      </c>
      <c r="C876" s="2" t="s">
        <v>55</v>
      </c>
      <c r="D876" s="2" t="s">
        <v>44</v>
      </c>
      <c r="E876" s="5">
        <v>-30242</v>
      </c>
      <c r="F876" s="3" t="s">
        <v>62</v>
      </c>
      <c r="G876" s="3" t="s">
        <v>77</v>
      </c>
      <c r="H876" s="2" t="s">
        <v>21</v>
      </c>
      <c r="I876" s="2" t="s">
        <v>2292</v>
      </c>
      <c r="J876" s="3" t="str">
        <f>HYPERLINK("https://www.boe.es/gazeta/dias/1817/03/13/pdfs/GMD-1817-31.pdf#page=8","Abrir facsímil")</f>
        <v>Abrir facsímil</v>
      </c>
      <c r="K876" s="3" t="s">
        <v>23</v>
      </c>
    </row>
    <row r="877" spans="1:11" ht="42" customHeight="1">
      <c r="A877" s="2" t="s">
        <v>2293</v>
      </c>
      <c r="B877" s="2" t="s">
        <v>2294</v>
      </c>
      <c r="C877" s="2" t="s">
        <v>36</v>
      </c>
      <c r="D877" s="2" t="s">
        <v>37</v>
      </c>
      <c r="E877" s="5">
        <v>-30261</v>
      </c>
      <c r="F877" s="3" t="s">
        <v>226</v>
      </c>
      <c r="G877" s="3" t="s">
        <v>57</v>
      </c>
      <c r="H877" s="2" t="s">
        <v>21</v>
      </c>
      <c r="I877" s="2" t="s">
        <v>2295</v>
      </c>
      <c r="J877" s="3" t="str">
        <f>HYPERLINK("https://www.boe.es/gazeta/dias/1817/02/22/pdfs/GMD-1817-23.pdf#page=6","Abrir facsímil")</f>
        <v>Abrir facsímil</v>
      </c>
      <c r="K877" s="3" t="s">
        <v>23</v>
      </c>
    </row>
    <row r="878" spans="1:11" ht="42" customHeight="1">
      <c r="A878" s="2" t="s">
        <v>2296</v>
      </c>
      <c r="B878" s="2" t="s">
        <v>2297</v>
      </c>
      <c r="C878" s="2" t="s">
        <v>36</v>
      </c>
      <c r="D878" s="2" t="s">
        <v>37</v>
      </c>
      <c r="E878" s="5">
        <v>-29957</v>
      </c>
      <c r="F878" s="3" t="s">
        <v>1001</v>
      </c>
      <c r="G878" s="3" t="s">
        <v>20</v>
      </c>
      <c r="H878" s="2" t="s">
        <v>21</v>
      </c>
      <c r="I878" s="2" t="s">
        <v>2298</v>
      </c>
      <c r="J878" s="3" t="str">
        <f>HYPERLINK("https://www.boe.es/gazeta/dias/1817/12/23/pdfs/GMD-1817-153.pdf#page=7","Abrir facsímil")</f>
        <v>Abrir facsímil</v>
      </c>
      <c r="K878" s="3" t="s">
        <v>23</v>
      </c>
    </row>
    <row r="879" spans="1:11" ht="42" customHeight="1">
      <c r="A879" s="2" t="s">
        <v>2299</v>
      </c>
      <c r="B879" s="2" t="s">
        <v>2299</v>
      </c>
      <c r="C879" s="2" t="s">
        <v>36</v>
      </c>
      <c r="D879" s="2" t="s">
        <v>37</v>
      </c>
      <c r="E879" s="5">
        <v>-29964</v>
      </c>
      <c r="F879" s="3" t="s">
        <v>482</v>
      </c>
      <c r="G879" s="3" t="s">
        <v>20</v>
      </c>
      <c r="H879" s="2" t="s">
        <v>21</v>
      </c>
      <c r="I879" s="2" t="s">
        <v>2300</v>
      </c>
      <c r="J879" s="3" t="str">
        <f>HYPERLINK("https://www.boe.es/gazeta/dias/1817/12/16/pdfs/GMD-1817-150.pdf#page=7","Abrir facsímil")</f>
        <v>Abrir facsímil</v>
      </c>
      <c r="K879" s="3" t="s">
        <v>23</v>
      </c>
    </row>
    <row r="880" spans="1:11" ht="42" customHeight="1">
      <c r="A880" s="2" t="s">
        <v>2301</v>
      </c>
      <c r="B880" s="2" t="s">
        <v>2302</v>
      </c>
      <c r="C880" s="2" t="s">
        <v>17</v>
      </c>
      <c r="D880" s="2" t="s">
        <v>18</v>
      </c>
      <c r="E880" s="5">
        <v>-30097</v>
      </c>
      <c r="F880" s="3" t="s">
        <v>156</v>
      </c>
      <c r="G880" s="3" t="s">
        <v>1596</v>
      </c>
      <c r="H880" s="2" t="s">
        <v>21</v>
      </c>
      <c r="I880" s="2" t="s">
        <v>2303</v>
      </c>
      <c r="J880" s="3" t="str">
        <f>HYPERLINK("https://www.boe.es/gazeta/dias/1817/08/05/pdfs/GMD-1817-93.pdf#page=6","Abrir facsímil")</f>
        <v>Abrir facsímil</v>
      </c>
      <c r="K880" s="3" t="s">
        <v>23</v>
      </c>
    </row>
    <row r="881" spans="1:11" ht="42" customHeight="1">
      <c r="A881" s="2" t="s">
        <v>2304</v>
      </c>
      <c r="B881" s="2" t="s">
        <v>2305</v>
      </c>
      <c r="C881" s="2" t="s">
        <v>36</v>
      </c>
      <c r="D881" s="2" t="s">
        <v>37</v>
      </c>
      <c r="E881" s="5">
        <v>-30261</v>
      </c>
      <c r="F881" s="3" t="s">
        <v>226</v>
      </c>
      <c r="G881" s="3" t="s">
        <v>57</v>
      </c>
      <c r="H881" s="2" t="s">
        <v>21</v>
      </c>
      <c r="I881" s="2" t="s">
        <v>2306</v>
      </c>
      <c r="J881" s="3" t="str">
        <f>HYPERLINK("https://www.boe.es/gazeta/dias/1817/02/22/pdfs/GMD-1817-23.pdf#page=6","Abrir facsímil")</f>
        <v>Abrir facsímil</v>
      </c>
      <c r="K881" s="3" t="s">
        <v>23</v>
      </c>
    </row>
    <row r="882" spans="1:11" ht="42" customHeight="1">
      <c r="A882" s="2" t="s">
        <v>2307</v>
      </c>
      <c r="B882" s="2" t="s">
        <v>2308</v>
      </c>
      <c r="C882" s="2" t="s">
        <v>55</v>
      </c>
      <c r="D882" s="2" t="s">
        <v>44</v>
      </c>
      <c r="E882" s="5">
        <v>-30212</v>
      </c>
      <c r="F882" s="3" t="s">
        <v>745</v>
      </c>
      <c r="G882" s="3" t="s">
        <v>77</v>
      </c>
      <c r="H882" s="2" t="s">
        <v>21</v>
      </c>
      <c r="I882" s="2" t="s">
        <v>2309</v>
      </c>
      <c r="J882" s="3" t="str">
        <f>HYPERLINK("https://www.boe.es/gazeta/dias/1817/04/12/pdfs/GMD-1817-44.pdf#page=8","Abrir facsímil")</f>
        <v>Abrir facsímil</v>
      </c>
      <c r="K882" s="3" t="s">
        <v>23</v>
      </c>
    </row>
    <row r="883" spans="1:11" ht="42" customHeight="1">
      <c r="A883" s="2" t="s">
        <v>2310</v>
      </c>
      <c r="B883" s="2" t="s">
        <v>2311</v>
      </c>
      <c r="C883" s="2" t="s">
        <v>17</v>
      </c>
      <c r="D883" s="2" t="s">
        <v>18</v>
      </c>
      <c r="E883" s="5">
        <v>-30065</v>
      </c>
      <c r="F883" s="3" t="s">
        <v>201</v>
      </c>
      <c r="G883" s="3" t="s">
        <v>20</v>
      </c>
      <c r="H883" s="2" t="s">
        <v>21</v>
      </c>
      <c r="I883" s="2" t="s">
        <v>2312</v>
      </c>
      <c r="J883" s="3" t="str">
        <f>HYPERLINK("https://www.boe.es/gazeta/dias/1817/09/06/pdfs/GMD-1817-107.pdf#page=7","Abrir facsímil")</f>
        <v>Abrir facsímil</v>
      </c>
      <c r="K883" s="3" t="s">
        <v>23</v>
      </c>
    </row>
    <row r="884" spans="1:11" ht="42" customHeight="1">
      <c r="A884" s="2" t="s">
        <v>2310</v>
      </c>
      <c r="B884" s="2" t="s">
        <v>2311</v>
      </c>
      <c r="C884" s="2" t="s">
        <v>55</v>
      </c>
      <c r="D884" s="2" t="s">
        <v>44</v>
      </c>
      <c r="E884" s="5">
        <v>-29988</v>
      </c>
      <c r="F884" s="3" t="s">
        <v>569</v>
      </c>
      <c r="G884" s="3" t="s">
        <v>314</v>
      </c>
      <c r="H884" s="2" t="s">
        <v>21</v>
      </c>
      <c r="I884" s="2" t="s">
        <v>2313</v>
      </c>
      <c r="J884" s="3" t="str">
        <f>HYPERLINK("https://www.boe.es/gazeta/dias/1817/11/22/pdfs/GMD-1817-140.pdf#page=10","Abrir facsímil")</f>
        <v>Abrir facsímil</v>
      </c>
      <c r="K884" s="3" t="s">
        <v>23</v>
      </c>
    </row>
    <row r="885" spans="1:11" ht="42" customHeight="1">
      <c r="A885" s="2" t="s">
        <v>2314</v>
      </c>
      <c r="B885" s="2" t="s">
        <v>2315</v>
      </c>
      <c r="C885" s="2" t="s">
        <v>36</v>
      </c>
      <c r="D885" s="2" t="s">
        <v>37</v>
      </c>
      <c r="E885" s="5">
        <v>-30065</v>
      </c>
      <c r="F885" s="3" t="s">
        <v>201</v>
      </c>
      <c r="G885" s="3" t="s">
        <v>20</v>
      </c>
      <c r="H885" s="2" t="s">
        <v>21</v>
      </c>
      <c r="I885" s="2" t="s">
        <v>2316</v>
      </c>
      <c r="J885" s="3" t="str">
        <f>HYPERLINK("https://www.boe.es/gazeta/dias/1817/09/06/pdfs/GMD-1817-107.pdf#page=7","Abrir facsímil")</f>
        <v>Abrir facsímil</v>
      </c>
      <c r="K885" s="3" t="s">
        <v>23</v>
      </c>
    </row>
    <row r="886" spans="1:11" ht="42" customHeight="1">
      <c r="A886" s="2" t="s">
        <v>2317</v>
      </c>
      <c r="B886" s="2" t="s">
        <v>2318</v>
      </c>
      <c r="C886" s="2" t="s">
        <v>17</v>
      </c>
      <c r="D886" s="2" t="s">
        <v>18</v>
      </c>
      <c r="E886" s="5">
        <v>-30249</v>
      </c>
      <c r="F886" s="3" t="s">
        <v>120</v>
      </c>
      <c r="G886" s="3" t="s">
        <v>39</v>
      </c>
      <c r="H886" s="2" t="s">
        <v>21</v>
      </c>
      <c r="I886" s="2" t="s">
        <v>2319</v>
      </c>
      <c r="J886" s="3" t="str">
        <f>HYPERLINK("https://www.boe.es/gazeta/dias/1817/03/06/pdfs/GMD-1817-28.pdf#page=5","Abrir facsímil")</f>
        <v>Abrir facsímil</v>
      </c>
      <c r="K886" s="3" t="s">
        <v>23</v>
      </c>
    </row>
    <row r="887" spans="1:11" ht="42" customHeight="1">
      <c r="A887" s="2" t="s">
        <v>2320</v>
      </c>
      <c r="B887" s="2" t="s">
        <v>2321</v>
      </c>
      <c r="C887" s="2" t="s">
        <v>43</v>
      </c>
      <c r="D887" s="2" t="s">
        <v>44</v>
      </c>
      <c r="E887" s="5">
        <v>-29992</v>
      </c>
      <c r="F887" s="3" t="s">
        <v>50</v>
      </c>
      <c r="G887" s="3" t="s">
        <v>51</v>
      </c>
      <c r="H887" s="2" t="s">
        <v>21</v>
      </c>
      <c r="I887" s="2" t="s">
        <v>2322</v>
      </c>
      <c r="J887" s="3" t="str">
        <f>HYPERLINK("https://www.boe.es/gazeta/dias/1817/11/18/pdfs/GMD-1817-138.pdf#page=8","Abrir facsímil")</f>
        <v>Abrir facsímil</v>
      </c>
      <c r="K887" s="3" t="s">
        <v>23</v>
      </c>
    </row>
    <row r="888" spans="1:11" ht="42" customHeight="1">
      <c r="A888" s="2" t="s">
        <v>2323</v>
      </c>
      <c r="B888" s="2" t="s">
        <v>2324</v>
      </c>
      <c r="C888" s="2" t="s">
        <v>17</v>
      </c>
      <c r="D888" s="2" t="s">
        <v>18</v>
      </c>
      <c r="E888" s="5">
        <v>-30095</v>
      </c>
      <c r="F888" s="3" t="s">
        <v>365</v>
      </c>
      <c r="G888" s="3" t="s">
        <v>112</v>
      </c>
      <c r="H888" s="2" t="s">
        <v>21</v>
      </c>
      <c r="I888" s="2" t="s">
        <v>2325</v>
      </c>
      <c r="J888" s="3" t="str">
        <f>HYPERLINK("https://www.boe.es/gazeta/dias/1817/08/07/pdfs/GMD-1817-94.pdf#page=11","Abrir facsímil")</f>
        <v>Abrir facsímil</v>
      </c>
      <c r="K888" s="3" t="s">
        <v>23</v>
      </c>
    </row>
    <row r="889" spans="1:11" ht="42" customHeight="1">
      <c r="A889" s="2" t="s">
        <v>2326</v>
      </c>
      <c r="B889" s="2" t="s">
        <v>2327</v>
      </c>
      <c r="C889" s="2" t="s">
        <v>138</v>
      </c>
      <c r="D889" s="2" t="s">
        <v>44</v>
      </c>
      <c r="E889" s="5">
        <v>-30027</v>
      </c>
      <c r="F889" s="3" t="s">
        <v>173</v>
      </c>
      <c r="G889" s="3" t="s">
        <v>77</v>
      </c>
      <c r="H889" s="2" t="s">
        <v>21</v>
      </c>
      <c r="I889" s="2" t="s">
        <v>2328</v>
      </c>
      <c r="J889" s="3" t="str">
        <f>HYPERLINK("https://www.boe.es/gazeta/dias/1817/10/14/pdfs/GMD-1817-123.pdf#page=8","Abrir facsímil")</f>
        <v>Abrir facsímil</v>
      </c>
      <c r="K889" s="3" t="s">
        <v>23</v>
      </c>
    </row>
    <row r="890" spans="1:11" ht="42" customHeight="1">
      <c r="A890" s="2" t="s">
        <v>2329</v>
      </c>
      <c r="B890" s="2" t="s">
        <v>2330</v>
      </c>
      <c r="C890" s="2" t="s">
        <v>17</v>
      </c>
      <c r="D890" s="2" t="s">
        <v>18</v>
      </c>
      <c r="E890" s="5">
        <v>-30233</v>
      </c>
      <c r="F890" s="3" t="s">
        <v>577</v>
      </c>
      <c r="G890" s="3" t="s">
        <v>57</v>
      </c>
      <c r="H890" s="2" t="s">
        <v>21</v>
      </c>
      <c r="I890" s="2" t="s">
        <v>2331</v>
      </c>
      <c r="J890" s="3" t="str">
        <f>HYPERLINK("https://www.boe.es/gazeta/dias/1817/03/22/pdfs/GMD-1817-35.pdf#page=6","Abrir facsímil")</f>
        <v>Abrir facsímil</v>
      </c>
      <c r="K890" s="3" t="s">
        <v>23</v>
      </c>
    </row>
    <row r="891" spans="1:11" ht="42" customHeight="1">
      <c r="A891" s="2" t="s">
        <v>2332</v>
      </c>
      <c r="B891" s="2" t="s">
        <v>2332</v>
      </c>
      <c r="C891" s="2" t="s">
        <v>36</v>
      </c>
      <c r="D891" s="2" t="s">
        <v>37</v>
      </c>
      <c r="E891" s="5">
        <v>-30081</v>
      </c>
      <c r="F891" s="3" t="s">
        <v>133</v>
      </c>
      <c r="G891" s="3" t="s">
        <v>77</v>
      </c>
      <c r="H891" s="2" t="s">
        <v>21</v>
      </c>
      <c r="I891" s="2" t="s">
        <v>2333</v>
      </c>
      <c r="J891" s="3" t="str">
        <f>HYPERLINK("https://www.boe.es/gazeta/dias/1817/08/21/pdfs/GMD-1817-100.pdf#page=8","Abrir facsímil")</f>
        <v>Abrir facsímil</v>
      </c>
      <c r="K891" s="3" t="s">
        <v>23</v>
      </c>
    </row>
    <row r="892" spans="1:11" ht="42" customHeight="1">
      <c r="A892" s="2" t="s">
        <v>2334</v>
      </c>
      <c r="B892" s="2" t="s">
        <v>2334</v>
      </c>
      <c r="C892" s="2" t="s">
        <v>36</v>
      </c>
      <c r="D892" s="2" t="s">
        <v>37</v>
      </c>
      <c r="E892" s="5">
        <v>-30167</v>
      </c>
      <c r="F892" s="3" t="s">
        <v>153</v>
      </c>
      <c r="G892" s="3" t="s">
        <v>72</v>
      </c>
      <c r="H892" s="2" t="s">
        <v>21</v>
      </c>
      <c r="I892" s="2" t="s">
        <v>2335</v>
      </c>
      <c r="J892" s="3" t="str">
        <f>HYPERLINK("https://www.boe.es/gazeta/dias/1817/05/27/pdfs/GMD-1817-63.pdf#page=1","Abrir facsímil")</f>
        <v>Abrir facsímil</v>
      </c>
      <c r="K892" s="3" t="s">
        <v>23</v>
      </c>
    </row>
    <row r="893" spans="1:11" ht="42" customHeight="1">
      <c r="A893" s="2" t="s">
        <v>2336</v>
      </c>
      <c r="B893" s="2" t="s">
        <v>2337</v>
      </c>
      <c r="C893" s="2" t="s">
        <v>36</v>
      </c>
      <c r="D893" s="2" t="s">
        <v>37</v>
      </c>
      <c r="E893" s="5">
        <v>-30097</v>
      </c>
      <c r="F893" s="3" t="s">
        <v>156</v>
      </c>
      <c r="G893" s="3" t="s">
        <v>1596</v>
      </c>
      <c r="H893" s="2" t="s">
        <v>21</v>
      </c>
      <c r="I893" s="2" t="s">
        <v>2338</v>
      </c>
      <c r="J893" s="3" t="str">
        <f>HYPERLINK("https://www.boe.es/gazeta/dias/1817/08/05/pdfs/GMD-1817-93.pdf#page=6","Abrir facsímil")</f>
        <v>Abrir facsímil</v>
      </c>
      <c r="K893" s="3" t="s">
        <v>23</v>
      </c>
    </row>
    <row r="894" spans="1:11" ht="42" customHeight="1">
      <c r="A894" s="2" t="s">
        <v>2339</v>
      </c>
      <c r="B894" s="2" t="s">
        <v>2340</v>
      </c>
      <c r="C894" s="2" t="s">
        <v>43</v>
      </c>
      <c r="D894" s="2" t="s">
        <v>44</v>
      </c>
      <c r="E894" s="5">
        <v>-30310</v>
      </c>
      <c r="F894" s="3" t="s">
        <v>93</v>
      </c>
      <c r="G894" s="3" t="s">
        <v>57</v>
      </c>
      <c r="H894" s="2" t="s">
        <v>21</v>
      </c>
      <c r="I894" s="2" t="s">
        <v>2341</v>
      </c>
      <c r="J894" s="3" t="str">
        <f>HYPERLINK("https://www.boe.es/gazeta/dias/1817/01/04/pdfs/GMD-1817-2.pdf#page=6","Abrir facsímil")</f>
        <v>Abrir facsímil</v>
      </c>
      <c r="K894" s="3" t="s">
        <v>23</v>
      </c>
    </row>
    <row r="895" spans="1:11" ht="42" customHeight="1">
      <c r="A895" s="2" t="s">
        <v>2342</v>
      </c>
      <c r="B895" s="2" t="s">
        <v>2343</v>
      </c>
      <c r="C895" s="2" t="s">
        <v>43</v>
      </c>
      <c r="D895" s="2" t="s">
        <v>44</v>
      </c>
      <c r="E895" s="5">
        <v>-30013</v>
      </c>
      <c r="F895" s="3" t="s">
        <v>464</v>
      </c>
      <c r="G895" s="3" t="s">
        <v>465</v>
      </c>
      <c r="H895" s="2" t="s">
        <v>27</v>
      </c>
      <c r="I895" s="2" t="s">
        <v>2344</v>
      </c>
      <c r="J895" s="3" t="str">
        <f>HYPERLINK("https://www.boe.es/gazeta/dias/1817/10/28/pdfs/GMD-1817-129.pdf#page=7","Abrir facsímil")</f>
        <v>Abrir facsímil</v>
      </c>
      <c r="K895" s="3" t="s">
        <v>29</v>
      </c>
    </row>
    <row r="896" spans="1:11" ht="42" customHeight="1">
      <c r="A896" s="2" t="s">
        <v>2345</v>
      </c>
      <c r="B896" s="2" t="s">
        <v>2346</v>
      </c>
      <c r="C896" s="2" t="s">
        <v>43</v>
      </c>
      <c r="D896" s="2" t="s">
        <v>44</v>
      </c>
      <c r="E896" s="5">
        <v>-29981</v>
      </c>
      <c r="F896" s="3" t="s">
        <v>111</v>
      </c>
      <c r="G896" s="3" t="s">
        <v>112</v>
      </c>
      <c r="H896" s="2" t="s">
        <v>27</v>
      </c>
      <c r="I896" s="2" t="s">
        <v>2347</v>
      </c>
      <c r="J896" s="3" t="str">
        <f>HYPERLINK("https://www.boe.es/gazeta/dias/1817/11/29/pdfs/GMD-1817-143.pdf#page=11","Abrir facsímil")</f>
        <v>Abrir facsímil</v>
      </c>
      <c r="K896" s="3" t="s">
        <v>29</v>
      </c>
    </row>
    <row r="897" spans="1:11" ht="42" customHeight="1">
      <c r="A897" s="2" t="s">
        <v>2348</v>
      </c>
      <c r="B897" s="2" t="s">
        <v>2349</v>
      </c>
      <c r="C897" s="2" t="s">
        <v>43</v>
      </c>
      <c r="D897" s="2" t="s">
        <v>44</v>
      </c>
      <c r="E897" s="5">
        <v>-29990</v>
      </c>
      <c r="F897" s="3" t="s">
        <v>542</v>
      </c>
      <c r="G897" s="3" t="s">
        <v>144</v>
      </c>
      <c r="H897" s="2" t="s">
        <v>27</v>
      </c>
      <c r="I897" s="2" t="s">
        <v>2350</v>
      </c>
      <c r="J897" s="3" t="str">
        <f>HYPERLINK("https://www.boe.es/gazeta/dias/1817/11/20/pdfs/GMD-1817-139.pdf#page=4","Abrir facsímil")</f>
        <v>Abrir facsímil</v>
      </c>
      <c r="K897" s="3" t="s">
        <v>29</v>
      </c>
    </row>
    <row r="898" spans="1:11" ht="42" customHeight="1">
      <c r="A898" s="2" t="s">
        <v>2351</v>
      </c>
      <c r="B898" s="2" t="s">
        <v>2352</v>
      </c>
      <c r="C898" s="2" t="s">
        <v>36</v>
      </c>
      <c r="D898" s="2" t="s">
        <v>37</v>
      </c>
      <c r="E898" s="5">
        <v>-30011</v>
      </c>
      <c r="F898" s="3" t="s">
        <v>313</v>
      </c>
      <c r="G898" s="3" t="s">
        <v>887</v>
      </c>
      <c r="H898" s="2" t="s">
        <v>21</v>
      </c>
      <c r="I898" s="2" t="s">
        <v>2353</v>
      </c>
      <c r="J898" s="3" t="str">
        <f>HYPERLINK("https://www.boe.es/gazeta/dias/1817/10/30/pdfs/GMD-1817-130.pdf#page=9","Abrir facsímil")</f>
        <v>Abrir facsímil</v>
      </c>
      <c r="K898" s="3" t="s">
        <v>23</v>
      </c>
    </row>
    <row r="899" spans="1:11" ht="42" customHeight="1">
      <c r="A899" s="2" t="s">
        <v>2354</v>
      </c>
      <c r="B899" s="2" t="s">
        <v>2355</v>
      </c>
      <c r="C899" s="2" t="s">
        <v>43</v>
      </c>
      <c r="D899" s="2" t="s">
        <v>44</v>
      </c>
      <c r="E899" s="5">
        <v>-30013</v>
      </c>
      <c r="F899" s="3" t="s">
        <v>464</v>
      </c>
      <c r="G899" s="3" t="s">
        <v>39</v>
      </c>
      <c r="H899" s="2" t="s">
        <v>21</v>
      </c>
      <c r="I899" s="2" t="s">
        <v>2356</v>
      </c>
      <c r="J899" s="3" t="str">
        <f>HYPERLINK("https://www.boe.es/gazeta/dias/1817/10/28/pdfs/GMD-1817-129.pdf#page=5","Abrir facsímil")</f>
        <v>Abrir facsímil</v>
      </c>
      <c r="K899" s="3" t="s">
        <v>23</v>
      </c>
    </row>
    <row r="900" spans="1:11" ht="42" customHeight="1">
      <c r="A900" s="2" t="s">
        <v>2357</v>
      </c>
      <c r="B900" s="2" t="s">
        <v>2358</v>
      </c>
      <c r="C900" s="2" t="s">
        <v>55</v>
      </c>
      <c r="D900" s="2" t="s">
        <v>44</v>
      </c>
      <c r="E900" s="5">
        <v>-29995</v>
      </c>
      <c r="F900" s="3" t="s">
        <v>514</v>
      </c>
      <c r="G900" s="3" t="s">
        <v>515</v>
      </c>
      <c r="H900" s="2" t="s">
        <v>27</v>
      </c>
      <c r="I900" s="2" t="s">
        <v>2359</v>
      </c>
      <c r="J900" s="3" t="str">
        <f>HYPERLINK("https://www.boe.es/gazeta/dias/1817/11/15/pdfs/GMD-1817-137.pdf#page=8","Abrir facsímil")</f>
        <v>Abrir facsímil</v>
      </c>
      <c r="K900" s="3" t="s">
        <v>29</v>
      </c>
    </row>
    <row r="901" spans="1:11" ht="42" customHeight="1">
      <c r="A901" s="2" t="s">
        <v>2360</v>
      </c>
      <c r="B901" s="2" t="s">
        <v>2361</v>
      </c>
      <c r="C901" s="2" t="s">
        <v>36</v>
      </c>
      <c r="D901" s="2" t="s">
        <v>37</v>
      </c>
      <c r="E901" s="5">
        <v>-30261</v>
      </c>
      <c r="F901" s="3" t="s">
        <v>226</v>
      </c>
      <c r="G901" s="3" t="s">
        <v>20</v>
      </c>
      <c r="H901" s="2" t="s">
        <v>21</v>
      </c>
      <c r="I901" s="2" t="s">
        <v>2362</v>
      </c>
      <c r="J901" s="3" t="str">
        <f>HYPERLINK("https://www.boe.es/gazeta/dias/1817/02/22/pdfs/GMD-1817-23.pdf#page=7","Abrir facsímil")</f>
        <v>Abrir facsímil</v>
      </c>
      <c r="K901" s="3" t="s">
        <v>23</v>
      </c>
    </row>
    <row r="902" spans="1:11" ht="42" customHeight="1">
      <c r="A902" s="2" t="s">
        <v>2363</v>
      </c>
      <c r="B902" s="2" t="s">
        <v>2364</v>
      </c>
      <c r="C902" s="2" t="s">
        <v>49</v>
      </c>
      <c r="D902" s="2" t="s">
        <v>44</v>
      </c>
      <c r="E902" s="5">
        <v>-30293</v>
      </c>
      <c r="F902" s="3" t="s">
        <v>143</v>
      </c>
      <c r="G902" s="3" t="s">
        <v>2365</v>
      </c>
      <c r="H902" s="2" t="s">
        <v>21</v>
      </c>
      <c r="I902" s="2" t="s">
        <v>2366</v>
      </c>
      <c r="J902" s="3" t="str">
        <f>HYPERLINK("https://www.boe.es/gazeta/dias/1817/01/21/pdfs/GMD-1817-9.pdf#page=8","Abrir facsímil")</f>
        <v>Abrir facsímil</v>
      </c>
      <c r="K902" s="3" t="s">
        <v>23</v>
      </c>
    </row>
    <row r="903" spans="1:11" ht="42" customHeight="1">
      <c r="A903" s="2" t="s">
        <v>2363</v>
      </c>
      <c r="B903" s="2" t="s">
        <v>2364</v>
      </c>
      <c r="C903" s="2" t="s">
        <v>55</v>
      </c>
      <c r="D903" s="2" t="s">
        <v>44</v>
      </c>
      <c r="E903" s="5">
        <v>-30116</v>
      </c>
      <c r="F903" s="3" t="s">
        <v>319</v>
      </c>
      <c r="G903" s="3" t="s">
        <v>77</v>
      </c>
      <c r="H903" s="2" t="s">
        <v>21</v>
      </c>
      <c r="I903" s="2" t="s">
        <v>2367</v>
      </c>
      <c r="J903" s="3" t="str">
        <f>HYPERLINK("https://www.boe.es/gazeta/dias/1817/07/17/pdfs/GMD-1817-85.pdf#page=8","Abrir facsímil")</f>
        <v>Abrir facsímil</v>
      </c>
      <c r="K903" s="3" t="s">
        <v>23</v>
      </c>
    </row>
    <row r="904" spans="1:11" ht="42" customHeight="1">
      <c r="A904" s="2" t="s">
        <v>2363</v>
      </c>
      <c r="B904" s="2" t="s">
        <v>2364</v>
      </c>
      <c r="C904" s="2" t="s">
        <v>55</v>
      </c>
      <c r="D904" s="2" t="s">
        <v>44</v>
      </c>
      <c r="E904" s="5">
        <v>-30079</v>
      </c>
      <c r="F904" s="3" t="s">
        <v>45</v>
      </c>
      <c r="G904" s="3" t="s">
        <v>77</v>
      </c>
      <c r="H904" s="2" t="s">
        <v>21</v>
      </c>
      <c r="I904" s="2" t="s">
        <v>2368</v>
      </c>
      <c r="J904" s="3" t="str">
        <f>HYPERLINK("https://www.boe.es/gazeta/dias/1817/08/23/pdfs/GMD-1817-101.pdf#page=8","Abrir facsímil")</f>
        <v>Abrir facsímil</v>
      </c>
      <c r="K904" s="3" t="s">
        <v>23</v>
      </c>
    </row>
    <row r="905" spans="1:11" ht="42" customHeight="1">
      <c r="A905" s="2" t="s">
        <v>2363</v>
      </c>
      <c r="B905" s="2" t="s">
        <v>2364</v>
      </c>
      <c r="C905" s="2" t="s">
        <v>55</v>
      </c>
      <c r="D905" s="2" t="s">
        <v>44</v>
      </c>
      <c r="E905" s="5">
        <v>-30053</v>
      </c>
      <c r="F905" s="3" t="s">
        <v>129</v>
      </c>
      <c r="G905" s="3" t="s">
        <v>82</v>
      </c>
      <c r="H905" s="2" t="s">
        <v>21</v>
      </c>
      <c r="I905" s="2" t="s">
        <v>2369</v>
      </c>
      <c r="J905" s="3" t="str">
        <f>HYPERLINK("https://www.boe.es/gazeta/dias/1817/09/18/pdfs/GMD-1817-112.pdf#page=12","Abrir facsímil")</f>
        <v>Abrir facsímil</v>
      </c>
      <c r="K905" s="3" t="s">
        <v>23</v>
      </c>
    </row>
    <row r="906" spans="1:11" ht="42" customHeight="1">
      <c r="A906" s="2" t="s">
        <v>2370</v>
      </c>
      <c r="B906" s="2" t="s">
        <v>2371</v>
      </c>
      <c r="C906" s="2" t="s">
        <v>43</v>
      </c>
      <c r="D906" s="2" t="s">
        <v>44</v>
      </c>
      <c r="E906" s="5">
        <v>-29988</v>
      </c>
      <c r="F906" s="3" t="s">
        <v>569</v>
      </c>
      <c r="G906" s="3" t="s">
        <v>57</v>
      </c>
      <c r="H906" s="2" t="s">
        <v>21</v>
      </c>
      <c r="I906" s="2" t="s">
        <v>2372</v>
      </c>
      <c r="J906" s="3" t="str">
        <f>HYPERLINK("https://www.boe.es/gazeta/dias/1817/11/22/pdfs/GMD-1817-140.pdf#page=6","Abrir facsímil")</f>
        <v>Abrir facsímil</v>
      </c>
      <c r="K906" s="3" t="s">
        <v>23</v>
      </c>
    </row>
    <row r="907" spans="1:11" ht="42" customHeight="1">
      <c r="A907" s="2" t="s">
        <v>2373</v>
      </c>
      <c r="B907" s="2" t="s">
        <v>2374</v>
      </c>
      <c r="C907" s="2" t="s">
        <v>36</v>
      </c>
      <c r="D907" s="2" t="s">
        <v>37</v>
      </c>
      <c r="E907" s="5">
        <v>-30011</v>
      </c>
      <c r="F907" s="3" t="s">
        <v>313</v>
      </c>
      <c r="G907" s="3" t="s">
        <v>887</v>
      </c>
      <c r="H907" s="2" t="s">
        <v>21</v>
      </c>
      <c r="I907" s="2" t="s">
        <v>2375</v>
      </c>
      <c r="J907" s="3" t="str">
        <f>HYPERLINK("https://www.boe.es/gazeta/dias/1817/10/30/pdfs/GMD-1817-130.pdf#page=9","Abrir facsímil")</f>
        <v>Abrir facsímil</v>
      </c>
      <c r="K907" s="3" t="s">
        <v>23</v>
      </c>
    </row>
    <row r="908" spans="1:11" ht="42" customHeight="1">
      <c r="A908" s="2" t="s">
        <v>2376</v>
      </c>
      <c r="B908" s="2" t="s">
        <v>2377</v>
      </c>
      <c r="C908" s="2" t="s">
        <v>43</v>
      </c>
      <c r="D908" s="2" t="s">
        <v>44</v>
      </c>
      <c r="E908" s="5">
        <v>-29981</v>
      </c>
      <c r="F908" s="3" t="s">
        <v>111</v>
      </c>
      <c r="G908" s="3" t="s">
        <v>112</v>
      </c>
      <c r="H908" s="2" t="s">
        <v>21</v>
      </c>
      <c r="I908" s="2" t="s">
        <v>2378</v>
      </c>
      <c r="J908" s="3" t="str">
        <f>HYPERLINK("https://www.boe.es/gazeta/dias/1817/11/29/pdfs/GMD-1817-143.pdf#page=11","Abrir facsímil")</f>
        <v>Abrir facsímil</v>
      </c>
      <c r="K908" s="3" t="s">
        <v>23</v>
      </c>
    </row>
    <row r="909" spans="1:11" ht="42" customHeight="1">
      <c r="A909" s="2" t="s">
        <v>2379</v>
      </c>
      <c r="B909" s="2" t="s">
        <v>2380</v>
      </c>
      <c r="C909" s="2" t="s">
        <v>49</v>
      </c>
      <c r="D909" s="2" t="s">
        <v>44</v>
      </c>
      <c r="E909" s="5">
        <v>-30179</v>
      </c>
      <c r="F909" s="3" t="s">
        <v>391</v>
      </c>
      <c r="G909" s="3" t="s">
        <v>20</v>
      </c>
      <c r="H909" s="2" t="s">
        <v>21</v>
      </c>
      <c r="I909" s="2" t="s">
        <v>2381</v>
      </c>
      <c r="J909" s="3" t="str">
        <f>HYPERLINK("https://www.boe.es/gazeta/dias/1817/05/15/pdfs/GMD-1817-58.pdf#page=7","Abrir facsímil")</f>
        <v>Abrir facsímil</v>
      </c>
      <c r="K909" s="3" t="s">
        <v>23</v>
      </c>
    </row>
    <row r="910" spans="1:11" ht="42" customHeight="1">
      <c r="A910" s="2" t="s">
        <v>2382</v>
      </c>
      <c r="B910" s="2" t="s">
        <v>2383</v>
      </c>
      <c r="C910" s="2" t="s">
        <v>17</v>
      </c>
      <c r="D910" s="2" t="s">
        <v>18</v>
      </c>
      <c r="E910" s="5">
        <v>-29988</v>
      </c>
      <c r="F910" s="3" t="s">
        <v>569</v>
      </c>
      <c r="G910" s="3" t="s">
        <v>314</v>
      </c>
      <c r="H910" s="2" t="s">
        <v>21</v>
      </c>
      <c r="I910" s="2" t="s">
        <v>2384</v>
      </c>
      <c r="J910" s="3" t="str">
        <f>HYPERLINK("https://www.boe.es/gazeta/dias/1817/11/22/pdfs/GMD-1817-140.pdf#page=10","Abrir facsímil")</f>
        <v>Abrir facsímil</v>
      </c>
      <c r="K910" s="3" t="s">
        <v>23</v>
      </c>
    </row>
    <row r="911" spans="1:11" ht="42" customHeight="1">
      <c r="A911" s="2" t="s">
        <v>2385</v>
      </c>
      <c r="B911" s="2" t="s">
        <v>2386</v>
      </c>
      <c r="C911" s="2" t="s">
        <v>17</v>
      </c>
      <c r="D911" s="2" t="s">
        <v>18</v>
      </c>
      <c r="E911" s="5">
        <v>-30300</v>
      </c>
      <c r="F911" s="3" t="s">
        <v>164</v>
      </c>
      <c r="G911" s="3" t="s">
        <v>39</v>
      </c>
      <c r="H911" s="2" t="s">
        <v>21</v>
      </c>
      <c r="I911" s="2" t="s">
        <v>2387</v>
      </c>
      <c r="J911" s="3" t="str">
        <f>HYPERLINK("https://www.boe.es/gazeta/dias/1817/01/14/pdfs/GMD-1817-6.pdf#page=5","Abrir facsímil")</f>
        <v>Abrir facsímil</v>
      </c>
      <c r="K911" s="3" t="s">
        <v>23</v>
      </c>
    </row>
    <row r="912" spans="1:11" ht="42" customHeight="1">
      <c r="A912" s="2" t="s">
        <v>2388</v>
      </c>
      <c r="B912" s="2" t="s">
        <v>2389</v>
      </c>
      <c r="C912" s="2" t="s">
        <v>43</v>
      </c>
      <c r="D912" s="2" t="s">
        <v>44</v>
      </c>
      <c r="E912" s="5">
        <v>-30128</v>
      </c>
      <c r="F912" s="3" t="s">
        <v>761</v>
      </c>
      <c r="G912" s="3" t="s">
        <v>20</v>
      </c>
      <c r="H912" s="2" t="s">
        <v>21</v>
      </c>
      <c r="I912" s="2" t="s">
        <v>2390</v>
      </c>
      <c r="J912" s="3" t="str">
        <f>HYPERLINK("https://www.boe.es/gazeta/dias/1817/07/05/pdfs/GMD-1817-80.pdf#page=7","Abrir facsímil")</f>
        <v>Abrir facsímil</v>
      </c>
      <c r="K912" s="3" t="s">
        <v>23</v>
      </c>
    </row>
    <row r="913" spans="1:11" ht="42" customHeight="1">
      <c r="A913" s="2" t="s">
        <v>2391</v>
      </c>
      <c r="B913" s="2" t="s">
        <v>2392</v>
      </c>
      <c r="C913" s="2" t="s">
        <v>43</v>
      </c>
      <c r="D913" s="2" t="s">
        <v>44</v>
      </c>
      <c r="E913" s="5">
        <v>-30146</v>
      </c>
      <c r="F913" s="3" t="s">
        <v>1005</v>
      </c>
      <c r="G913" s="3" t="s">
        <v>1006</v>
      </c>
      <c r="H913" s="2" t="s">
        <v>27</v>
      </c>
      <c r="I913" s="2" t="s">
        <v>2393</v>
      </c>
      <c r="J913" s="3" t="str">
        <f>HYPERLINK("https://www.boe.es/gazeta/dias/1817/06/17/pdfs/GMD-1817-72.pdf#page=8","Abrir facsímil")</f>
        <v>Abrir facsímil</v>
      </c>
      <c r="K913" s="3" t="s">
        <v>29</v>
      </c>
    </row>
    <row r="914" spans="1:11" ht="42" customHeight="1">
      <c r="A914" s="2" t="s">
        <v>2394</v>
      </c>
      <c r="B914" s="2" t="s">
        <v>2395</v>
      </c>
      <c r="C914" s="2" t="s">
        <v>36</v>
      </c>
      <c r="D914" s="2" t="s">
        <v>37</v>
      </c>
      <c r="E914" s="5">
        <v>-30172</v>
      </c>
      <c r="F914" s="3" t="s">
        <v>991</v>
      </c>
      <c r="G914" s="3" t="s">
        <v>77</v>
      </c>
      <c r="H914" s="2" t="s">
        <v>21</v>
      </c>
      <c r="I914" s="2" t="s">
        <v>2396</v>
      </c>
      <c r="J914" s="3" t="str">
        <f>HYPERLINK("https://www.boe.es/gazeta/dias/1817/05/22/pdfs/GMD-1817-61.pdf#page=8","Abrir facsímil")</f>
        <v>Abrir facsímil</v>
      </c>
      <c r="K914" s="3" t="s">
        <v>23</v>
      </c>
    </row>
    <row r="915" spans="1:11" ht="42" customHeight="1">
      <c r="A915" s="2" t="s">
        <v>2397</v>
      </c>
      <c r="B915" s="2" t="s">
        <v>2398</v>
      </c>
      <c r="C915" s="2" t="s">
        <v>55</v>
      </c>
      <c r="D915" s="2" t="s">
        <v>44</v>
      </c>
      <c r="E915" s="5">
        <v>-30300</v>
      </c>
      <c r="F915" s="3" t="s">
        <v>164</v>
      </c>
      <c r="G915" s="3" t="s">
        <v>20</v>
      </c>
      <c r="H915" s="2" t="s">
        <v>21</v>
      </c>
      <c r="I915" s="2" t="s">
        <v>2399</v>
      </c>
      <c r="J915" s="3" t="str">
        <f>HYPERLINK("https://www.boe.es/gazeta/dias/1817/01/14/pdfs/GMD-1817-6.pdf#page=7","Abrir facsímil")</f>
        <v>Abrir facsímil</v>
      </c>
      <c r="K915" s="3" t="s">
        <v>23</v>
      </c>
    </row>
    <row r="916" spans="1:11" ht="42" customHeight="1">
      <c r="A916" s="2" t="s">
        <v>2397</v>
      </c>
      <c r="B916" s="2" t="s">
        <v>2398</v>
      </c>
      <c r="C916" s="2" t="s">
        <v>43</v>
      </c>
      <c r="D916" s="2" t="s">
        <v>44</v>
      </c>
      <c r="E916" s="5">
        <v>-30086</v>
      </c>
      <c r="F916" s="3" t="s">
        <v>221</v>
      </c>
      <c r="G916" s="3" t="s">
        <v>144</v>
      </c>
      <c r="H916" s="2" t="s">
        <v>21</v>
      </c>
      <c r="I916" s="2" t="s">
        <v>2400</v>
      </c>
      <c r="J916" s="3" t="str">
        <f>HYPERLINK("https://www.boe.es/gazeta/dias/1817/08/16/pdfs/GMD-1817-98.pdf#page=4","Abrir facsímil")</f>
        <v>Abrir facsímil</v>
      </c>
      <c r="K916" s="3" t="s">
        <v>23</v>
      </c>
    </row>
    <row r="917" spans="1:11" ht="42" customHeight="1">
      <c r="A917" s="2" t="s">
        <v>2401</v>
      </c>
      <c r="B917" s="2" t="s">
        <v>2402</v>
      </c>
      <c r="C917" s="2" t="s">
        <v>17</v>
      </c>
      <c r="D917" s="2" t="s">
        <v>18</v>
      </c>
      <c r="E917" s="5">
        <v>-30055</v>
      </c>
      <c r="F917" s="3" t="s">
        <v>71</v>
      </c>
      <c r="G917" s="3" t="s">
        <v>82</v>
      </c>
      <c r="H917" s="2" t="s">
        <v>21</v>
      </c>
      <c r="I917" s="2" t="s">
        <v>2403</v>
      </c>
      <c r="J917" s="3" t="str">
        <f>HYPERLINK("https://www.boe.es/gazeta/dias/1817/09/16/pdfs/GMD-1817-111.pdf#page=12","Abrir facsímil")</f>
        <v>Abrir facsímil</v>
      </c>
      <c r="K917" s="3" t="s">
        <v>23</v>
      </c>
    </row>
    <row r="918" spans="1:11" ht="42" customHeight="1">
      <c r="A918" s="2" t="s">
        <v>2404</v>
      </c>
      <c r="B918" s="2" t="s">
        <v>2405</v>
      </c>
      <c r="C918" s="2" t="s">
        <v>55</v>
      </c>
      <c r="D918" s="2" t="s">
        <v>44</v>
      </c>
      <c r="E918" s="5">
        <v>-30242</v>
      </c>
      <c r="F918" s="3" t="s">
        <v>62</v>
      </c>
      <c r="G918" s="3" t="s">
        <v>77</v>
      </c>
      <c r="H918" s="2" t="s">
        <v>21</v>
      </c>
      <c r="I918" s="2" t="s">
        <v>2406</v>
      </c>
      <c r="J918" s="3" t="str">
        <f>HYPERLINK("https://www.boe.es/gazeta/dias/1817/03/13/pdfs/GMD-1817-31.pdf#page=8","Abrir facsímil")</f>
        <v>Abrir facsímil</v>
      </c>
      <c r="K918" s="3" t="s">
        <v>23</v>
      </c>
    </row>
    <row r="919" spans="1:11" ht="42" customHeight="1">
      <c r="A919" s="2" t="s">
        <v>2407</v>
      </c>
      <c r="B919" s="2" t="s">
        <v>2407</v>
      </c>
      <c r="C919" s="2" t="s">
        <v>36</v>
      </c>
      <c r="D919" s="2" t="s">
        <v>37</v>
      </c>
      <c r="E919" s="5">
        <v>-29988</v>
      </c>
      <c r="F919" s="3" t="s">
        <v>569</v>
      </c>
      <c r="G919" s="3" t="s">
        <v>144</v>
      </c>
      <c r="H919" s="2" t="s">
        <v>21</v>
      </c>
      <c r="I919" s="2" t="s">
        <v>2408</v>
      </c>
      <c r="J919" s="3" t="str">
        <f>HYPERLINK("https://www.boe.es/gazeta/dias/1817/11/22/pdfs/GMD-1817-140.pdf#page=4","Abrir facsímil")</f>
        <v>Abrir facsímil</v>
      </c>
      <c r="K919" s="3" t="s">
        <v>23</v>
      </c>
    </row>
    <row r="920" spans="1:11" ht="42" customHeight="1">
      <c r="A920" s="2" t="s">
        <v>2409</v>
      </c>
      <c r="B920" s="2" t="s">
        <v>2410</v>
      </c>
      <c r="C920" s="2" t="s">
        <v>36</v>
      </c>
      <c r="D920" s="2" t="s">
        <v>37</v>
      </c>
      <c r="E920" s="5">
        <v>-30188</v>
      </c>
      <c r="F920" s="3" t="s">
        <v>177</v>
      </c>
      <c r="G920" s="3" t="s">
        <v>144</v>
      </c>
      <c r="H920" s="2" t="s">
        <v>21</v>
      </c>
      <c r="I920" s="2" t="s">
        <v>2411</v>
      </c>
      <c r="J920" s="3" t="str">
        <f>HYPERLINK("https://www.boe.es/gazeta/dias/1817/05/06/pdfs/GMD-1817-54.pdf#page=4","Abrir facsímil")</f>
        <v>Abrir facsímil</v>
      </c>
      <c r="K920" s="3" t="s">
        <v>23</v>
      </c>
    </row>
    <row r="921" spans="1:11" ht="42" customHeight="1">
      <c r="A921" s="2" t="s">
        <v>2412</v>
      </c>
      <c r="B921" s="2" t="s">
        <v>2413</v>
      </c>
      <c r="C921" s="2" t="s">
        <v>55</v>
      </c>
      <c r="D921" s="2" t="s">
        <v>44</v>
      </c>
      <c r="E921" s="5">
        <v>-30027</v>
      </c>
      <c r="F921" s="3" t="s">
        <v>173</v>
      </c>
      <c r="G921" s="3" t="s">
        <v>144</v>
      </c>
      <c r="H921" s="2" t="s">
        <v>21</v>
      </c>
      <c r="I921" s="2" t="s">
        <v>2414</v>
      </c>
      <c r="J921" s="3" t="str">
        <f>HYPERLINK("https://www.boe.es/gazeta/dias/1817/10/14/pdfs/GMD-1817-123.pdf#page=4","Abrir facsímil")</f>
        <v>Abrir facsímil</v>
      </c>
      <c r="K921" s="3" t="s">
        <v>23</v>
      </c>
    </row>
    <row r="922" spans="1:11" ht="42" customHeight="1">
      <c r="A922" s="2" t="s">
        <v>2415</v>
      </c>
      <c r="B922" s="2" t="s">
        <v>2416</v>
      </c>
      <c r="C922" s="2" t="s">
        <v>36</v>
      </c>
      <c r="D922" s="2" t="s">
        <v>37</v>
      </c>
      <c r="E922" s="5">
        <v>-30023</v>
      </c>
      <c r="F922" s="3" t="s">
        <v>460</v>
      </c>
      <c r="G922" s="3" t="s">
        <v>551</v>
      </c>
      <c r="H922" s="2" t="s">
        <v>21</v>
      </c>
      <c r="I922" s="2" t="s">
        <v>2417</v>
      </c>
      <c r="J922" s="3" t="str">
        <f>HYPERLINK("https://www.boe.es/gazeta/dias/1817/10/18/pdfs/GMD-1817-125.pdf#page=3","Abrir facsímil")</f>
        <v>Abrir facsímil</v>
      </c>
      <c r="K922" s="3" t="s">
        <v>23</v>
      </c>
    </row>
    <row r="923" spans="1:11" ht="42" customHeight="1">
      <c r="A923" s="2" t="s">
        <v>2418</v>
      </c>
      <c r="B923" s="2" t="s">
        <v>2419</v>
      </c>
      <c r="C923" s="2" t="s">
        <v>36</v>
      </c>
      <c r="D923" s="2" t="s">
        <v>37</v>
      </c>
      <c r="E923" s="5">
        <v>-30172</v>
      </c>
      <c r="F923" s="3" t="s">
        <v>991</v>
      </c>
      <c r="G923" s="3" t="s">
        <v>39</v>
      </c>
      <c r="H923" s="2" t="s">
        <v>21</v>
      </c>
      <c r="I923" s="2" t="s">
        <v>2420</v>
      </c>
      <c r="J923" s="3" t="str">
        <f>HYPERLINK("https://www.boe.es/gazeta/dias/1817/05/22/pdfs/GMD-1817-61.pdf#page=5","Abrir facsímil")</f>
        <v>Abrir facsímil</v>
      </c>
      <c r="K923" s="3" t="s">
        <v>23</v>
      </c>
    </row>
    <row r="924" spans="1:11" ht="42" customHeight="1">
      <c r="A924" s="2" t="s">
        <v>2421</v>
      </c>
      <c r="B924" s="2" t="s">
        <v>2422</v>
      </c>
      <c r="C924" s="2" t="s">
        <v>55</v>
      </c>
      <c r="D924" s="2" t="s">
        <v>44</v>
      </c>
      <c r="E924" s="5">
        <v>-30027</v>
      </c>
      <c r="F924" s="3" t="s">
        <v>173</v>
      </c>
      <c r="G924" s="3" t="s">
        <v>77</v>
      </c>
      <c r="H924" s="2" t="s">
        <v>27</v>
      </c>
      <c r="I924" s="2" t="s">
        <v>2423</v>
      </c>
      <c r="J924" s="3" t="str">
        <f>HYPERLINK("https://www.boe.es/gazeta/dias/1817/10/14/pdfs/GMD-1817-123.pdf#page=8","Abrir facsímil")</f>
        <v>Abrir facsímil</v>
      </c>
      <c r="K924" s="3" t="s">
        <v>29</v>
      </c>
    </row>
    <row r="925" spans="1:11" ht="42" customHeight="1">
      <c r="A925" s="2" t="s">
        <v>2424</v>
      </c>
      <c r="B925" s="2" t="s">
        <v>2425</v>
      </c>
      <c r="C925" s="2" t="s">
        <v>43</v>
      </c>
      <c r="D925" s="2" t="s">
        <v>44</v>
      </c>
      <c r="E925" s="5">
        <v>-30055</v>
      </c>
      <c r="F925" s="3" t="s">
        <v>71</v>
      </c>
      <c r="G925" s="3" t="s">
        <v>82</v>
      </c>
      <c r="H925" s="2" t="s">
        <v>21</v>
      </c>
      <c r="I925" s="2" t="s">
        <v>2426</v>
      </c>
      <c r="J925" s="3" t="str">
        <f>HYPERLINK("https://www.boe.es/gazeta/dias/1817/09/16/pdfs/GMD-1817-111.pdf#page=12","Abrir facsímil")</f>
        <v>Abrir facsímil</v>
      </c>
      <c r="K925" s="3" t="s">
        <v>23</v>
      </c>
    </row>
    <row r="926" spans="1:11" ht="42" customHeight="1">
      <c r="A926" s="2" t="s">
        <v>2427</v>
      </c>
      <c r="B926" s="2" t="s">
        <v>2428</v>
      </c>
      <c r="C926" s="2" t="s">
        <v>36</v>
      </c>
      <c r="D926" s="2" t="s">
        <v>37</v>
      </c>
      <c r="E926" s="5">
        <v>-30198</v>
      </c>
      <c r="F926" s="3" t="s">
        <v>2185</v>
      </c>
      <c r="G926" s="3" t="s">
        <v>2429</v>
      </c>
      <c r="H926" s="2" t="s">
        <v>21</v>
      </c>
      <c r="I926" s="2" t="s">
        <v>2430</v>
      </c>
      <c r="J926" s="3" t="str">
        <f>HYPERLINK("https://www.boe.es/gazeta/dias/1817/04/26/pdfs/GMD-1817-50.pdf#page=7","Abrir facsímil")</f>
        <v>Abrir facsímil</v>
      </c>
      <c r="K926" s="3" t="s">
        <v>23</v>
      </c>
    </row>
    <row r="927" spans="1:11" ht="42" customHeight="1">
      <c r="A927" s="2" t="s">
        <v>2431</v>
      </c>
      <c r="B927" s="2" t="s">
        <v>2432</v>
      </c>
      <c r="C927" s="2" t="s">
        <v>17</v>
      </c>
      <c r="D927" s="2" t="s">
        <v>18</v>
      </c>
      <c r="E927" s="5">
        <v>-29988</v>
      </c>
      <c r="F927" s="3" t="s">
        <v>569</v>
      </c>
      <c r="G927" s="3" t="s">
        <v>112</v>
      </c>
      <c r="H927" s="2" t="s">
        <v>21</v>
      </c>
      <c r="I927" s="2" t="s">
        <v>2433</v>
      </c>
      <c r="J927" s="3" t="str">
        <f>HYPERLINK("https://www.boe.es/gazeta/dias/1817/11/22/pdfs/GMD-1817-140.pdf#page=11","Abrir facsímil")</f>
        <v>Abrir facsímil</v>
      </c>
      <c r="K927" s="3" t="s">
        <v>23</v>
      </c>
    </row>
    <row r="928" spans="1:11" ht="42" customHeight="1">
      <c r="A928" s="2" t="s">
        <v>2434</v>
      </c>
      <c r="B928" s="2" t="s">
        <v>2435</v>
      </c>
      <c r="C928" s="2" t="s">
        <v>43</v>
      </c>
      <c r="D928" s="2" t="s">
        <v>44</v>
      </c>
      <c r="E928" s="5">
        <v>-30179</v>
      </c>
      <c r="F928" s="3" t="s">
        <v>391</v>
      </c>
      <c r="G928" s="3" t="s">
        <v>57</v>
      </c>
      <c r="H928" s="2" t="s">
        <v>21</v>
      </c>
      <c r="I928" s="2" t="s">
        <v>2436</v>
      </c>
      <c r="J928" s="3" t="str">
        <f>HYPERLINK("https://www.boe.es/gazeta/dias/1817/05/15/pdfs/GMD-1817-58.pdf#page=6","Abrir facsímil")</f>
        <v>Abrir facsímil</v>
      </c>
      <c r="K928" s="3" t="s">
        <v>23</v>
      </c>
    </row>
    <row r="929" spans="1:11" ht="42" customHeight="1">
      <c r="A929" s="2" t="s">
        <v>2437</v>
      </c>
      <c r="B929" s="2" t="s">
        <v>2438</v>
      </c>
      <c r="C929" s="2" t="s">
        <v>36</v>
      </c>
      <c r="D929" s="2" t="s">
        <v>37</v>
      </c>
      <c r="E929" s="5">
        <v>-30095</v>
      </c>
      <c r="F929" s="3" t="s">
        <v>365</v>
      </c>
      <c r="G929" s="3" t="s">
        <v>112</v>
      </c>
      <c r="H929" s="2" t="s">
        <v>21</v>
      </c>
      <c r="I929" s="2" t="s">
        <v>2439</v>
      </c>
      <c r="J929" s="3" t="str">
        <f>HYPERLINK("https://www.boe.es/gazeta/dias/1817/08/07/pdfs/GMD-1817-94.pdf#page=11","Abrir facsímil")</f>
        <v>Abrir facsímil</v>
      </c>
      <c r="K929" s="3" t="s">
        <v>23</v>
      </c>
    </row>
    <row r="930" spans="1:11" ht="42" customHeight="1">
      <c r="A930" s="2" t="s">
        <v>2440</v>
      </c>
      <c r="B930" s="2" t="s">
        <v>2441</v>
      </c>
      <c r="C930" s="2" t="s">
        <v>36</v>
      </c>
      <c r="D930" s="2" t="s">
        <v>37</v>
      </c>
      <c r="E930" s="5">
        <v>-30081</v>
      </c>
      <c r="F930" s="3" t="s">
        <v>133</v>
      </c>
      <c r="G930" s="3" t="s">
        <v>20</v>
      </c>
      <c r="H930" s="2" t="s">
        <v>21</v>
      </c>
      <c r="I930" s="2" t="s">
        <v>2442</v>
      </c>
      <c r="J930" s="3" t="str">
        <f>HYPERLINK("https://www.boe.es/gazeta/dias/1817/08/21/pdfs/GMD-1817-100.pdf#page=7","Abrir facsímil")</f>
        <v>Abrir facsímil</v>
      </c>
      <c r="K930" s="3" t="s">
        <v>23</v>
      </c>
    </row>
    <row r="931" spans="1:11" ht="42" customHeight="1">
      <c r="A931" s="2" t="s">
        <v>2440</v>
      </c>
      <c r="B931" s="2" t="s">
        <v>2441</v>
      </c>
      <c r="C931" s="2" t="s">
        <v>36</v>
      </c>
      <c r="D931" s="2" t="s">
        <v>37</v>
      </c>
      <c r="E931" s="5">
        <v>-30081</v>
      </c>
      <c r="F931" s="3" t="s">
        <v>133</v>
      </c>
      <c r="G931" s="3" t="s">
        <v>77</v>
      </c>
      <c r="H931" s="2" t="s">
        <v>21</v>
      </c>
      <c r="I931" s="2" t="s">
        <v>2443</v>
      </c>
      <c r="J931" s="3" t="str">
        <f>HYPERLINK("https://www.boe.es/gazeta/dias/1817/08/21/pdfs/GMD-1817-100.pdf#page=8","Abrir facsímil")</f>
        <v>Abrir facsímil</v>
      </c>
      <c r="K931" s="3" t="s">
        <v>23</v>
      </c>
    </row>
    <row r="932" spans="1:11" ht="42" customHeight="1">
      <c r="A932" s="2" t="s">
        <v>2444</v>
      </c>
      <c r="B932" s="2" t="s">
        <v>2444</v>
      </c>
      <c r="C932" s="2" t="s">
        <v>510</v>
      </c>
      <c r="D932" s="2" t="s">
        <v>44</v>
      </c>
      <c r="E932" s="5">
        <v>-30170</v>
      </c>
      <c r="F932" s="3" t="s">
        <v>98</v>
      </c>
      <c r="G932" s="3" t="s">
        <v>39</v>
      </c>
      <c r="H932" s="2" t="s">
        <v>21</v>
      </c>
      <c r="I932" s="2" t="s">
        <v>2445</v>
      </c>
      <c r="J932" s="3" t="str">
        <f>HYPERLINK("https://www.boe.es/gazeta/dias/1817/05/24/pdfs/GMD-1817-62.pdf#page=5","Abrir facsímil")</f>
        <v>Abrir facsímil</v>
      </c>
      <c r="K932" s="3" t="s">
        <v>23</v>
      </c>
    </row>
    <row r="933" spans="1:11" ht="42" customHeight="1">
      <c r="A933" s="2" t="s">
        <v>2446</v>
      </c>
      <c r="B933" s="2" t="s">
        <v>2446</v>
      </c>
      <c r="C933" s="2" t="s">
        <v>17</v>
      </c>
      <c r="D933" s="2" t="s">
        <v>18</v>
      </c>
      <c r="E933" s="5">
        <v>-30296</v>
      </c>
      <c r="F933" s="3" t="s">
        <v>357</v>
      </c>
      <c r="G933" s="3" t="s">
        <v>72</v>
      </c>
      <c r="H933" s="2" t="s">
        <v>21</v>
      </c>
      <c r="I933" s="2" t="s">
        <v>2447</v>
      </c>
      <c r="J933" s="3" t="str">
        <f>HYPERLINK("https://www.boe.es/gazeta/dias/1817/01/18/pdfs/GMD-1817-8.pdf#page=1","Abrir facsímil")</f>
        <v>Abrir facsímil</v>
      </c>
      <c r="K933" s="3" t="s">
        <v>23</v>
      </c>
    </row>
    <row r="934" spans="1:11" ht="42" customHeight="1">
      <c r="A934" s="2" t="s">
        <v>2446</v>
      </c>
      <c r="B934" s="2" t="s">
        <v>2446</v>
      </c>
      <c r="C934" s="2" t="s">
        <v>36</v>
      </c>
      <c r="D934" s="2" t="s">
        <v>37</v>
      </c>
      <c r="E934" s="5">
        <v>-30291</v>
      </c>
      <c r="F934" s="3" t="s">
        <v>1041</v>
      </c>
      <c r="G934" s="3" t="s">
        <v>551</v>
      </c>
      <c r="H934" s="2" t="s">
        <v>21</v>
      </c>
      <c r="I934" s="2" t="s">
        <v>2448</v>
      </c>
      <c r="J934" s="3" t="str">
        <f>HYPERLINK("https://www.boe.es/gazeta/dias/1817/01/23/pdfs/GMD-1817-10.pdf#page=3","Abrir facsímil")</f>
        <v>Abrir facsímil</v>
      </c>
      <c r="K934" s="3" t="s">
        <v>23</v>
      </c>
    </row>
    <row r="935" spans="1:11" ht="42" customHeight="1">
      <c r="A935" s="2" t="s">
        <v>2446</v>
      </c>
      <c r="B935" s="2" t="s">
        <v>2446</v>
      </c>
      <c r="C935" s="2" t="s">
        <v>17</v>
      </c>
      <c r="D935" s="2" t="s">
        <v>18</v>
      </c>
      <c r="E935" s="5">
        <v>-30289</v>
      </c>
      <c r="F935" s="3" t="s">
        <v>193</v>
      </c>
      <c r="G935" s="3" t="s">
        <v>2449</v>
      </c>
      <c r="H935" s="2" t="s">
        <v>21</v>
      </c>
      <c r="I935" s="2" t="s">
        <v>2450</v>
      </c>
      <c r="J935" s="3" t="str">
        <f>HYPERLINK("https://www.boe.es/gazeta/dias/1817/01/25/pdfs/GMD-1817-11.pdf#page=2","Abrir facsímil")</f>
        <v>Abrir facsímil</v>
      </c>
      <c r="K935" s="3" t="s">
        <v>23</v>
      </c>
    </row>
    <row r="936" spans="1:11" ht="42" customHeight="1">
      <c r="A936" s="2" t="s">
        <v>2446</v>
      </c>
      <c r="B936" s="2" t="s">
        <v>2446</v>
      </c>
      <c r="C936" s="2" t="s">
        <v>43</v>
      </c>
      <c r="D936" s="2" t="s">
        <v>44</v>
      </c>
      <c r="E936" s="5">
        <v>-30254</v>
      </c>
      <c r="F936" s="3" t="s">
        <v>124</v>
      </c>
      <c r="G936" s="3" t="s">
        <v>551</v>
      </c>
      <c r="H936" s="2" t="s">
        <v>21</v>
      </c>
      <c r="I936" s="2" t="s">
        <v>2451</v>
      </c>
      <c r="J936" s="3" t="str">
        <f>HYPERLINK("https://www.boe.es/gazeta/dias/1817/03/01/pdfs/GMD-1817-26.pdf#page=3","Abrir facsímil")</f>
        <v>Abrir facsímil</v>
      </c>
      <c r="K936" s="3" t="s">
        <v>23</v>
      </c>
    </row>
    <row r="937" spans="1:11" ht="42" customHeight="1">
      <c r="A937" s="2" t="s">
        <v>2446</v>
      </c>
      <c r="B937" s="2" t="s">
        <v>2446</v>
      </c>
      <c r="C937" s="2" t="s">
        <v>17</v>
      </c>
      <c r="D937" s="2" t="s">
        <v>18</v>
      </c>
      <c r="E937" s="5">
        <v>-30209</v>
      </c>
      <c r="F937" s="3" t="s">
        <v>1478</v>
      </c>
      <c r="G937" s="3" t="s">
        <v>2452</v>
      </c>
      <c r="H937" s="2" t="s">
        <v>21</v>
      </c>
      <c r="I937" s="2" t="s">
        <v>2453</v>
      </c>
      <c r="J937" s="3" t="str">
        <f>HYPERLINK("https://www.boe.es/gazeta/dias/1817/04/15/pdfs/GMD-1817-45.pdf#page=4","Abrir facsímil")</f>
        <v>Abrir facsímil</v>
      </c>
      <c r="K937" s="3" t="s">
        <v>23</v>
      </c>
    </row>
    <row r="938" spans="1:11" ht="42" customHeight="1">
      <c r="A938" s="2" t="s">
        <v>2446</v>
      </c>
      <c r="B938" s="2" t="s">
        <v>2446</v>
      </c>
      <c r="C938" s="2" t="s">
        <v>17</v>
      </c>
      <c r="D938" s="2" t="s">
        <v>18</v>
      </c>
      <c r="E938" s="5">
        <v>-30202</v>
      </c>
      <c r="F938" s="3" t="s">
        <v>418</v>
      </c>
      <c r="G938" s="3" t="s">
        <v>551</v>
      </c>
      <c r="H938" s="2" t="s">
        <v>21</v>
      </c>
      <c r="I938" s="2" t="s">
        <v>2454</v>
      </c>
      <c r="J938" s="3" t="str">
        <f>HYPERLINK("https://www.boe.es/gazeta/dias/1817/04/22/pdfs/GMD-1817-48.pdf#page=3","Abrir facsímil")</f>
        <v>Abrir facsímil</v>
      </c>
      <c r="K938" s="3" t="s">
        <v>23</v>
      </c>
    </row>
    <row r="939" spans="1:11" ht="42" customHeight="1">
      <c r="A939" s="2" t="s">
        <v>2446</v>
      </c>
      <c r="B939" s="2" t="s">
        <v>2446</v>
      </c>
      <c r="C939" s="2" t="s">
        <v>36</v>
      </c>
      <c r="D939" s="2" t="s">
        <v>37</v>
      </c>
      <c r="E939" s="5">
        <v>-30177</v>
      </c>
      <c r="F939" s="3" t="s">
        <v>633</v>
      </c>
      <c r="G939" s="3" t="s">
        <v>629</v>
      </c>
      <c r="H939" s="2" t="s">
        <v>21</v>
      </c>
      <c r="I939" s="2" t="s">
        <v>2455</v>
      </c>
      <c r="J939" s="3" t="str">
        <f>HYPERLINK("https://www.boe.es/gazeta/dias/1817/05/17/pdfs/GMD-1817-59.pdf#page=2","Abrir facsímil")</f>
        <v>Abrir facsímil</v>
      </c>
      <c r="K939" s="3" t="s">
        <v>23</v>
      </c>
    </row>
    <row r="940" spans="1:11" ht="42" customHeight="1">
      <c r="A940" s="2" t="s">
        <v>2446</v>
      </c>
      <c r="B940" s="2" t="s">
        <v>2446</v>
      </c>
      <c r="C940" s="2" t="s">
        <v>36</v>
      </c>
      <c r="D940" s="2" t="s">
        <v>37</v>
      </c>
      <c r="E940" s="5">
        <v>-30177</v>
      </c>
      <c r="F940" s="3" t="s">
        <v>633</v>
      </c>
      <c r="G940" s="3" t="s">
        <v>144</v>
      </c>
      <c r="H940" s="2" t="s">
        <v>21</v>
      </c>
      <c r="I940" s="2" t="s">
        <v>2456</v>
      </c>
      <c r="J940" s="3" t="str">
        <f>HYPERLINK("https://www.boe.es/gazeta/dias/1817/05/17/pdfs/GMD-1817-59.pdf#page=4","Abrir facsímil")</f>
        <v>Abrir facsímil</v>
      </c>
      <c r="K940" s="3" t="s">
        <v>23</v>
      </c>
    </row>
    <row r="941" spans="1:11" ht="42" customHeight="1">
      <c r="A941" s="2" t="s">
        <v>2446</v>
      </c>
      <c r="B941" s="2" t="s">
        <v>2446</v>
      </c>
      <c r="C941" s="2" t="s">
        <v>138</v>
      </c>
      <c r="D941" s="2" t="s">
        <v>44</v>
      </c>
      <c r="E941" s="5">
        <v>-30083</v>
      </c>
      <c r="F941" s="3" t="s">
        <v>1273</v>
      </c>
      <c r="G941" s="3" t="s">
        <v>551</v>
      </c>
      <c r="H941" s="2" t="s">
        <v>21</v>
      </c>
      <c r="I941" s="2" t="s">
        <v>2457</v>
      </c>
      <c r="J941" s="3" t="str">
        <f>HYPERLINK("https://www.boe.es/gazeta/dias/1817/08/19/pdfs/GMD-1817-99.pdf#page=3","Abrir facsímil")</f>
        <v>Abrir facsímil</v>
      </c>
      <c r="K941" s="3" t="s">
        <v>23</v>
      </c>
    </row>
    <row r="942" spans="1:11" ht="42" customHeight="1">
      <c r="A942" s="2" t="s">
        <v>2446</v>
      </c>
      <c r="B942" s="2" t="s">
        <v>2446</v>
      </c>
      <c r="C942" s="2" t="s">
        <v>510</v>
      </c>
      <c r="D942" s="2" t="s">
        <v>44</v>
      </c>
      <c r="E942" s="5">
        <v>-30067</v>
      </c>
      <c r="F942" s="3" t="s">
        <v>1221</v>
      </c>
      <c r="G942" s="3" t="s">
        <v>551</v>
      </c>
      <c r="H942" s="2" t="s">
        <v>21</v>
      </c>
      <c r="I942" s="2" t="s">
        <v>2458</v>
      </c>
      <c r="J942" s="3" t="str">
        <f>HYPERLINK("https://www.boe.es/gazeta/dias/1817/09/04/pdfs/GMD-1817-106.pdf#page=3","Abrir facsímil")</f>
        <v>Abrir facsímil</v>
      </c>
      <c r="K942" s="3" t="s">
        <v>23</v>
      </c>
    </row>
    <row r="943" spans="1:11" ht="42" customHeight="1">
      <c r="A943" s="2" t="s">
        <v>2459</v>
      </c>
      <c r="B943" s="2" t="s">
        <v>2459</v>
      </c>
      <c r="C943" s="2" t="s">
        <v>17</v>
      </c>
      <c r="D943" s="2" t="s">
        <v>18</v>
      </c>
      <c r="E943" s="5">
        <v>-30009</v>
      </c>
      <c r="F943" s="3" t="s">
        <v>512</v>
      </c>
      <c r="G943" s="3" t="s">
        <v>2146</v>
      </c>
      <c r="H943" s="2" t="s">
        <v>21</v>
      </c>
      <c r="I943" s="2" t="s">
        <v>2460</v>
      </c>
      <c r="J943" s="3" t="str">
        <f>HYPERLINK("https://www.boe.es/gazeta/dias/1817/11/01/pdfs/GMD-1817-131.pdf#page=3","Abrir facsímil")</f>
        <v>Abrir facsímil</v>
      </c>
      <c r="K943" s="3" t="s">
        <v>23</v>
      </c>
    </row>
    <row r="944" spans="1:11" ht="42" customHeight="1">
      <c r="A944" s="2" t="s">
        <v>2461</v>
      </c>
      <c r="B944" s="2" t="s">
        <v>2461</v>
      </c>
      <c r="C944" s="2" t="s">
        <v>36</v>
      </c>
      <c r="D944" s="2" t="s">
        <v>37</v>
      </c>
      <c r="E944" s="5">
        <v>-30219</v>
      </c>
      <c r="F944" s="3" t="s">
        <v>1346</v>
      </c>
      <c r="G944" s="3" t="s">
        <v>1347</v>
      </c>
      <c r="H944" s="2" t="s">
        <v>21</v>
      </c>
      <c r="I944" s="2" t="s">
        <v>2462</v>
      </c>
      <c r="J944" s="3" t="str">
        <f>HYPERLINK("https://www.boe.es/gazeta/dias/1817/04/05/pdfs/GMD-1817-41.pdf#page=8","Abrir facsímil")</f>
        <v>Abrir facsímil</v>
      </c>
      <c r="K944" s="3" t="s">
        <v>23</v>
      </c>
    </row>
    <row r="945" spans="1:11" ht="42" customHeight="1">
      <c r="A945" s="2" t="s">
        <v>2463</v>
      </c>
      <c r="B945" s="2" t="s">
        <v>2464</v>
      </c>
      <c r="C945" s="2" t="s">
        <v>43</v>
      </c>
      <c r="D945" s="2" t="s">
        <v>44</v>
      </c>
      <c r="E945" s="5">
        <v>-30282</v>
      </c>
      <c r="F945" s="3" t="s">
        <v>1049</v>
      </c>
      <c r="G945" s="3" t="s">
        <v>39</v>
      </c>
      <c r="H945" s="2" t="s">
        <v>21</v>
      </c>
      <c r="I945" s="2" t="s">
        <v>2465</v>
      </c>
      <c r="J945" s="3" t="str">
        <f>HYPERLINK("https://www.boe.es/gazeta/dias/1817/02/01/pdfs/GMD-1817-14.pdf#page=5","Abrir facsímil")</f>
        <v>Abrir facsímil</v>
      </c>
      <c r="K945" s="3" t="s">
        <v>23</v>
      </c>
    </row>
    <row r="946" spans="1:11" ht="42" customHeight="1">
      <c r="A946" s="2" t="s">
        <v>2466</v>
      </c>
      <c r="B946" s="2" t="s">
        <v>2467</v>
      </c>
      <c r="C946" s="2" t="s">
        <v>43</v>
      </c>
      <c r="D946" s="2" t="s">
        <v>44</v>
      </c>
      <c r="E946" s="5">
        <v>-30013</v>
      </c>
      <c r="F946" s="3" t="s">
        <v>464</v>
      </c>
      <c r="G946" s="3" t="s">
        <v>39</v>
      </c>
      <c r="H946" s="2" t="s">
        <v>21</v>
      </c>
      <c r="I946" s="2" t="s">
        <v>2468</v>
      </c>
      <c r="J946" s="3" t="str">
        <f>HYPERLINK("https://www.boe.es/gazeta/dias/1817/10/28/pdfs/GMD-1817-129.pdf#page=5","Abrir facsímil")</f>
        <v>Abrir facsímil</v>
      </c>
      <c r="K946" s="3" t="s">
        <v>23</v>
      </c>
    </row>
    <row r="947" spans="1:11" ht="42" customHeight="1">
      <c r="A947" s="2" t="s">
        <v>2469</v>
      </c>
      <c r="B947" s="2" t="s">
        <v>2470</v>
      </c>
      <c r="C947" s="2" t="s">
        <v>43</v>
      </c>
      <c r="D947" s="2" t="s">
        <v>44</v>
      </c>
      <c r="E947" s="5">
        <v>-30167</v>
      </c>
      <c r="F947" s="3" t="s">
        <v>153</v>
      </c>
      <c r="G947" s="3" t="s">
        <v>144</v>
      </c>
      <c r="H947" s="2" t="s">
        <v>21</v>
      </c>
      <c r="I947" s="2" t="s">
        <v>2471</v>
      </c>
      <c r="J947" s="3" t="str">
        <f>HYPERLINK("https://www.boe.es/gazeta/dias/1817/05/27/pdfs/GMD-1817-63.pdf#page=4","Abrir facsímil")</f>
        <v>Abrir facsímil</v>
      </c>
      <c r="K947" s="3" t="s">
        <v>23</v>
      </c>
    </row>
    <row r="948" spans="1:11" ht="42" customHeight="1">
      <c r="A948" s="2" t="s">
        <v>2472</v>
      </c>
      <c r="B948" s="2" t="s">
        <v>2473</v>
      </c>
      <c r="C948" s="2" t="s">
        <v>43</v>
      </c>
      <c r="D948" s="2" t="s">
        <v>44</v>
      </c>
      <c r="E948" s="5">
        <v>-29964</v>
      </c>
      <c r="F948" s="3" t="s">
        <v>482</v>
      </c>
      <c r="G948" s="3" t="s">
        <v>20</v>
      </c>
      <c r="H948" s="2" t="s">
        <v>27</v>
      </c>
      <c r="I948" s="2" t="s">
        <v>2474</v>
      </c>
      <c r="J948" s="3" t="str">
        <f>HYPERLINK("https://www.boe.es/gazeta/dias/1817/12/16/pdfs/GMD-1817-150.pdf#page=7","Abrir facsímil")</f>
        <v>Abrir facsímil</v>
      </c>
      <c r="K948" s="3" t="s">
        <v>29</v>
      </c>
    </row>
    <row r="949" spans="1:11" ht="42" customHeight="1">
      <c r="A949" s="2" t="s">
        <v>2475</v>
      </c>
      <c r="B949" s="2" t="s">
        <v>2476</v>
      </c>
      <c r="C949" s="2" t="s">
        <v>36</v>
      </c>
      <c r="D949" s="2" t="s">
        <v>37</v>
      </c>
      <c r="E949" s="5">
        <v>-30307</v>
      </c>
      <c r="F949" s="3" t="s">
        <v>67</v>
      </c>
      <c r="G949" s="3" t="s">
        <v>39</v>
      </c>
      <c r="H949" s="2" t="s">
        <v>27</v>
      </c>
      <c r="I949" s="2" t="s">
        <v>2477</v>
      </c>
      <c r="J949" s="3" t="str">
        <f>HYPERLINK("https://www.boe.es/gazeta/dias/1817/01/07/pdfs/GMD-1817-3.pdf#page=5","Abrir facsímil")</f>
        <v>Abrir facsímil</v>
      </c>
      <c r="K949" s="3" t="s">
        <v>29</v>
      </c>
    </row>
    <row r="950" spans="1:11" ht="42" customHeight="1">
      <c r="A950" s="2" t="s">
        <v>2478</v>
      </c>
      <c r="B950" s="2" t="s">
        <v>2479</v>
      </c>
      <c r="C950" s="2" t="s">
        <v>36</v>
      </c>
      <c r="D950" s="2" t="s">
        <v>37</v>
      </c>
      <c r="E950" s="5">
        <v>-30137</v>
      </c>
      <c r="F950" s="3" t="s">
        <v>935</v>
      </c>
      <c r="G950" s="3" t="s">
        <v>551</v>
      </c>
      <c r="H950" s="2" t="s">
        <v>27</v>
      </c>
      <c r="I950" s="2" t="s">
        <v>2480</v>
      </c>
      <c r="J950" s="3" t="str">
        <f>HYPERLINK("https://www.boe.es/gazeta/dias/1817/06/26/pdfs/GMD-1817-76.pdf#page=3","Abrir facsímil")</f>
        <v>Abrir facsímil</v>
      </c>
      <c r="K950" s="3" t="s">
        <v>29</v>
      </c>
    </row>
    <row r="951" spans="1:11" ht="42" customHeight="1">
      <c r="A951" s="2" t="s">
        <v>2481</v>
      </c>
      <c r="B951" s="2" t="s">
        <v>2482</v>
      </c>
      <c r="C951" s="2" t="s">
        <v>43</v>
      </c>
      <c r="D951" s="2" t="s">
        <v>44</v>
      </c>
      <c r="E951" s="5">
        <v>-30153</v>
      </c>
      <c r="F951" s="3" t="s">
        <v>843</v>
      </c>
      <c r="G951" s="3" t="s">
        <v>39</v>
      </c>
      <c r="H951" s="2" t="s">
        <v>21</v>
      </c>
      <c r="I951" s="2" t="s">
        <v>2483</v>
      </c>
      <c r="J951" s="3" t="str">
        <f>HYPERLINK("https://www.boe.es/gazeta/dias/1817/06/10/pdfs/GMD-1817-69.pdf#page=5","Abrir facsímil")</f>
        <v>Abrir facsímil</v>
      </c>
      <c r="K951" s="3" t="s">
        <v>23</v>
      </c>
    </row>
    <row r="952" spans="1:11" ht="42" customHeight="1">
      <c r="A952" s="2" t="s">
        <v>2481</v>
      </c>
      <c r="B952" s="2" t="s">
        <v>2482</v>
      </c>
      <c r="C952" s="2" t="s">
        <v>36</v>
      </c>
      <c r="D952" s="2" t="s">
        <v>37</v>
      </c>
      <c r="E952" s="5">
        <v>-29995</v>
      </c>
      <c r="F952" s="3" t="s">
        <v>514</v>
      </c>
      <c r="G952" s="3" t="s">
        <v>1082</v>
      </c>
      <c r="H952" s="2" t="s">
        <v>21</v>
      </c>
      <c r="I952" s="2" t="s">
        <v>2484</v>
      </c>
      <c r="J952" s="3" t="str">
        <f>HYPERLINK("https://www.boe.es/gazeta/dias/1817/11/15/pdfs/GMD-1817-137.pdf#page=5","Abrir facsímil")</f>
        <v>Abrir facsímil</v>
      </c>
      <c r="K952" s="3" t="s">
        <v>23</v>
      </c>
    </row>
    <row r="953" spans="1:11" ht="42" customHeight="1">
      <c r="A953" s="2" t="s">
        <v>2485</v>
      </c>
      <c r="B953" s="2" t="s">
        <v>2486</v>
      </c>
      <c r="C953" s="2" t="s">
        <v>17</v>
      </c>
      <c r="D953" s="2" t="s">
        <v>18</v>
      </c>
      <c r="E953" s="5">
        <v>-30272</v>
      </c>
      <c r="F953" s="3" t="s">
        <v>493</v>
      </c>
      <c r="G953" s="3" t="s">
        <v>77</v>
      </c>
      <c r="H953" s="2" t="s">
        <v>21</v>
      </c>
      <c r="I953" s="2" t="s">
        <v>2487</v>
      </c>
      <c r="J953" s="3" t="str">
        <f>HYPERLINK("https://www.boe.es/gazeta/dias/1817/02/11/pdfs/GMD-1817-18.pdf#page=8","Abrir facsímil")</f>
        <v>Abrir facsímil</v>
      </c>
      <c r="K953" s="3" t="s">
        <v>23</v>
      </c>
    </row>
    <row r="954" spans="1:11" ht="42" customHeight="1">
      <c r="A954" s="2" t="s">
        <v>2485</v>
      </c>
      <c r="B954" s="2" t="s">
        <v>2486</v>
      </c>
      <c r="C954" s="2" t="s">
        <v>17</v>
      </c>
      <c r="D954" s="2" t="s">
        <v>18</v>
      </c>
      <c r="E954" s="5">
        <v>-30205</v>
      </c>
      <c r="F954" s="3" t="s">
        <v>139</v>
      </c>
      <c r="G954" s="3" t="s">
        <v>77</v>
      </c>
      <c r="H954" s="2" t="s">
        <v>21</v>
      </c>
      <c r="I954" s="2" t="s">
        <v>2488</v>
      </c>
      <c r="J954" s="3" t="str">
        <f>HYPERLINK("https://www.boe.es/gazeta/dias/1817/04/19/pdfs/GMD-1817-47.pdf#page=8","Abrir facsímil")</f>
        <v>Abrir facsímil</v>
      </c>
      <c r="K954" s="3" t="s">
        <v>23</v>
      </c>
    </row>
    <row r="955" spans="1:11" ht="42" customHeight="1">
      <c r="A955" s="2" t="s">
        <v>2485</v>
      </c>
      <c r="B955" s="2" t="s">
        <v>2486</v>
      </c>
      <c r="C955" s="2" t="s">
        <v>17</v>
      </c>
      <c r="D955" s="2" t="s">
        <v>18</v>
      </c>
      <c r="E955" s="5">
        <v>-30167</v>
      </c>
      <c r="F955" s="3" t="s">
        <v>153</v>
      </c>
      <c r="G955" s="3" t="s">
        <v>2489</v>
      </c>
      <c r="H955" s="2" t="s">
        <v>21</v>
      </c>
      <c r="I955" s="2" t="s">
        <v>2490</v>
      </c>
      <c r="J955" s="3" t="str">
        <f>HYPERLINK("https://www.boe.es/gazeta/dias/1817/05/27/pdfs/GMD-1817-63.pdf#page=8","Abrir facsímil")</f>
        <v>Abrir facsímil</v>
      </c>
      <c r="K955" s="3" t="s">
        <v>23</v>
      </c>
    </row>
    <row r="956" spans="1:11" ht="42" customHeight="1">
      <c r="A956" s="2" t="s">
        <v>2485</v>
      </c>
      <c r="B956" s="2" t="s">
        <v>2486</v>
      </c>
      <c r="C956" s="2" t="s">
        <v>17</v>
      </c>
      <c r="D956" s="2" t="s">
        <v>18</v>
      </c>
      <c r="E956" s="5">
        <v>-30116</v>
      </c>
      <c r="F956" s="3" t="s">
        <v>319</v>
      </c>
      <c r="G956" s="3" t="s">
        <v>77</v>
      </c>
      <c r="H956" s="2" t="s">
        <v>21</v>
      </c>
      <c r="I956" s="2" t="s">
        <v>2491</v>
      </c>
      <c r="J956" s="3" t="str">
        <f>HYPERLINK("https://www.boe.es/gazeta/dias/1817/07/17/pdfs/GMD-1817-85.pdf#page=8","Abrir facsímil")</f>
        <v>Abrir facsímil</v>
      </c>
      <c r="K956" s="3" t="s">
        <v>23</v>
      </c>
    </row>
    <row r="957" spans="1:11" ht="42" customHeight="1">
      <c r="A957" s="2" t="s">
        <v>2485</v>
      </c>
      <c r="B957" s="2" t="s">
        <v>2486</v>
      </c>
      <c r="C957" s="2" t="s">
        <v>17</v>
      </c>
      <c r="D957" s="2" t="s">
        <v>18</v>
      </c>
      <c r="E957" s="5">
        <v>-30114</v>
      </c>
      <c r="F957" s="3" t="s">
        <v>500</v>
      </c>
      <c r="G957" s="3" t="s">
        <v>77</v>
      </c>
      <c r="H957" s="2" t="s">
        <v>21</v>
      </c>
      <c r="I957" s="2" t="s">
        <v>2492</v>
      </c>
      <c r="J957" s="3" t="str">
        <f>HYPERLINK("https://www.boe.es/gazeta/dias/1817/07/19/pdfs/GMD-1817-86.pdf#page=8","Abrir facsímil")</f>
        <v>Abrir facsímil</v>
      </c>
      <c r="K957" s="3" t="s">
        <v>23</v>
      </c>
    </row>
    <row r="958" spans="1:11" ht="42" customHeight="1">
      <c r="A958" s="2" t="s">
        <v>2485</v>
      </c>
      <c r="B958" s="2" t="s">
        <v>2486</v>
      </c>
      <c r="C958" s="2" t="s">
        <v>17</v>
      </c>
      <c r="D958" s="2" t="s">
        <v>18</v>
      </c>
      <c r="E958" s="5">
        <v>-30097</v>
      </c>
      <c r="F958" s="3" t="s">
        <v>156</v>
      </c>
      <c r="G958" s="3" t="s">
        <v>2493</v>
      </c>
      <c r="H958" s="2" t="s">
        <v>21</v>
      </c>
      <c r="I958" s="2" t="s">
        <v>2494</v>
      </c>
      <c r="J958" s="3" t="str">
        <f>HYPERLINK("https://www.boe.es/gazeta/dias/1817/08/05/pdfs/GMD-1817-93.pdf#page=8","Abrir facsímil")</f>
        <v>Abrir facsímil</v>
      </c>
      <c r="K958" s="3" t="s">
        <v>23</v>
      </c>
    </row>
    <row r="959" spans="1:11" ht="42" customHeight="1">
      <c r="A959" s="2" t="s">
        <v>2485</v>
      </c>
      <c r="B959" s="2" t="s">
        <v>2486</v>
      </c>
      <c r="C959" s="2" t="s">
        <v>17</v>
      </c>
      <c r="D959" s="2" t="s">
        <v>18</v>
      </c>
      <c r="E959" s="5">
        <v>-30095</v>
      </c>
      <c r="F959" s="3" t="s">
        <v>365</v>
      </c>
      <c r="G959" s="3" t="s">
        <v>82</v>
      </c>
      <c r="H959" s="2" t="s">
        <v>21</v>
      </c>
      <c r="I959" s="2" t="s">
        <v>2495</v>
      </c>
      <c r="J959" s="3" t="str">
        <f>HYPERLINK("https://www.boe.es/gazeta/dias/1817/08/07/pdfs/GMD-1817-94.pdf#page=12","Abrir facsímil")</f>
        <v>Abrir facsímil</v>
      </c>
      <c r="K959" s="3" t="s">
        <v>23</v>
      </c>
    </row>
    <row r="960" spans="1:11" ht="42" customHeight="1">
      <c r="A960" s="2" t="s">
        <v>2485</v>
      </c>
      <c r="B960" s="2" t="s">
        <v>2486</v>
      </c>
      <c r="C960" s="2" t="s">
        <v>17</v>
      </c>
      <c r="D960" s="2" t="s">
        <v>18</v>
      </c>
      <c r="E960" s="5">
        <v>-30079</v>
      </c>
      <c r="F960" s="3" t="s">
        <v>45</v>
      </c>
      <c r="G960" s="3" t="s">
        <v>77</v>
      </c>
      <c r="H960" s="2" t="s">
        <v>21</v>
      </c>
      <c r="I960" s="2" t="s">
        <v>2496</v>
      </c>
      <c r="J960" s="3" t="str">
        <f>HYPERLINK("https://www.boe.es/gazeta/dias/1817/08/23/pdfs/GMD-1817-101.pdf#page=8","Abrir facsímil")</f>
        <v>Abrir facsímil</v>
      </c>
      <c r="K960" s="3" t="s">
        <v>23</v>
      </c>
    </row>
    <row r="961" spans="1:11" ht="42" customHeight="1">
      <c r="A961" s="2" t="s">
        <v>2485</v>
      </c>
      <c r="B961" s="2" t="s">
        <v>2486</v>
      </c>
      <c r="C961" s="2" t="s">
        <v>17</v>
      </c>
      <c r="D961" s="2" t="s">
        <v>18</v>
      </c>
      <c r="E961" s="5">
        <v>-30069</v>
      </c>
      <c r="F961" s="3" t="s">
        <v>817</v>
      </c>
      <c r="G961" s="3" t="s">
        <v>818</v>
      </c>
      <c r="H961" s="2" t="s">
        <v>21</v>
      </c>
      <c r="I961" s="2" t="s">
        <v>2497</v>
      </c>
      <c r="J961" s="3" t="str">
        <f>HYPERLINK("https://www.boe.es/gazeta/dias/1817/09/02/pdfs/GMD-1817-105.pdf#page=8","Abrir facsímil")</f>
        <v>Abrir facsímil</v>
      </c>
      <c r="K961" s="3" t="s">
        <v>23</v>
      </c>
    </row>
    <row r="962" spans="1:11" ht="42" customHeight="1">
      <c r="A962" s="2" t="s">
        <v>2485</v>
      </c>
      <c r="B962" s="2" t="s">
        <v>2486</v>
      </c>
      <c r="C962" s="2" t="s">
        <v>17</v>
      </c>
      <c r="D962" s="2" t="s">
        <v>18</v>
      </c>
      <c r="E962" s="5">
        <v>-30062</v>
      </c>
      <c r="F962" s="3" t="s">
        <v>444</v>
      </c>
      <c r="G962" s="3" t="s">
        <v>112</v>
      </c>
      <c r="H962" s="2" t="s">
        <v>21</v>
      </c>
      <c r="I962" s="2" t="s">
        <v>2498</v>
      </c>
      <c r="J962" s="3" t="str">
        <f>HYPERLINK("https://www.boe.es/gazeta/dias/1817/09/09/pdfs/GMD-1817-108.pdf#page=11","Abrir facsímil")</f>
        <v>Abrir facsímil</v>
      </c>
      <c r="K962" s="3" t="s">
        <v>23</v>
      </c>
    </row>
    <row r="963" spans="1:11" ht="42" customHeight="1">
      <c r="A963" s="2" t="s">
        <v>2485</v>
      </c>
      <c r="B963" s="2" t="s">
        <v>2486</v>
      </c>
      <c r="C963" s="2" t="s">
        <v>17</v>
      </c>
      <c r="D963" s="2" t="s">
        <v>18</v>
      </c>
      <c r="E963" s="5">
        <v>-30053</v>
      </c>
      <c r="F963" s="3" t="s">
        <v>129</v>
      </c>
      <c r="G963" s="3" t="s">
        <v>82</v>
      </c>
      <c r="H963" s="2" t="s">
        <v>21</v>
      </c>
      <c r="I963" s="2" t="s">
        <v>2499</v>
      </c>
      <c r="J963" s="3" t="str">
        <f>HYPERLINK("https://www.boe.es/gazeta/dias/1817/09/18/pdfs/GMD-1817-112.pdf#page=12","Abrir facsímil")</f>
        <v>Abrir facsímil</v>
      </c>
      <c r="K963" s="3" t="s">
        <v>23</v>
      </c>
    </row>
    <row r="964" spans="1:11" ht="42" customHeight="1">
      <c r="A964" s="2" t="s">
        <v>2485</v>
      </c>
      <c r="B964" s="2" t="s">
        <v>2486</v>
      </c>
      <c r="C964" s="2" t="s">
        <v>17</v>
      </c>
      <c r="D964" s="2" t="s">
        <v>18</v>
      </c>
      <c r="E964" s="5">
        <v>-30041</v>
      </c>
      <c r="F964" s="3" t="s">
        <v>260</v>
      </c>
      <c r="G964" s="3" t="s">
        <v>20</v>
      </c>
      <c r="H964" s="2" t="s">
        <v>21</v>
      </c>
      <c r="I964" s="2" t="s">
        <v>2500</v>
      </c>
      <c r="J964" s="3" t="str">
        <f>HYPERLINK("https://www.boe.es/gazeta/dias/1817/09/30/pdfs/GMD-1817-117.pdf#page=7","Abrir facsímil")</f>
        <v>Abrir facsímil</v>
      </c>
      <c r="K964" s="3" t="s">
        <v>23</v>
      </c>
    </row>
    <row r="965" spans="1:11" ht="42" customHeight="1">
      <c r="A965" s="2" t="s">
        <v>2485</v>
      </c>
      <c r="B965" s="2" t="s">
        <v>2486</v>
      </c>
      <c r="C965" s="2" t="s">
        <v>17</v>
      </c>
      <c r="D965" s="2" t="s">
        <v>18</v>
      </c>
      <c r="E965" s="5">
        <v>-30018</v>
      </c>
      <c r="F965" s="3" t="s">
        <v>757</v>
      </c>
      <c r="G965" s="3" t="s">
        <v>77</v>
      </c>
      <c r="H965" s="2" t="s">
        <v>21</v>
      </c>
      <c r="I965" s="2" t="s">
        <v>2501</v>
      </c>
      <c r="J965" s="3" t="str">
        <f>HYPERLINK("https://www.boe.es/gazeta/dias/1817/10/23/pdfs/GMD-1817-127.pdf#page=8","Abrir facsímil")</f>
        <v>Abrir facsímil</v>
      </c>
      <c r="K965" s="3" t="s">
        <v>23</v>
      </c>
    </row>
    <row r="966" spans="1:11" ht="42" customHeight="1">
      <c r="A966" s="2" t="s">
        <v>2485</v>
      </c>
      <c r="B966" s="2" t="s">
        <v>2486</v>
      </c>
      <c r="C966" s="2" t="s">
        <v>17</v>
      </c>
      <c r="D966" s="2" t="s">
        <v>18</v>
      </c>
      <c r="E966" s="5">
        <v>-30004</v>
      </c>
      <c r="F966" s="3" t="s">
        <v>329</v>
      </c>
      <c r="G966" s="3" t="s">
        <v>20</v>
      </c>
      <c r="H966" s="2" t="s">
        <v>21</v>
      </c>
      <c r="I966" s="2" t="s">
        <v>2502</v>
      </c>
      <c r="J966" s="3" t="str">
        <f>HYPERLINK("https://www.boe.es/gazeta/dias/1817/11/06/pdfs/GMD-1817-133.pdf#page=7","Abrir facsímil")</f>
        <v>Abrir facsímil</v>
      </c>
      <c r="K966" s="3" t="s">
        <v>23</v>
      </c>
    </row>
    <row r="967" spans="1:11" ht="42" customHeight="1">
      <c r="A967" s="2" t="s">
        <v>2485</v>
      </c>
      <c r="B967" s="2" t="s">
        <v>2486</v>
      </c>
      <c r="C967" s="2" t="s">
        <v>17</v>
      </c>
      <c r="D967" s="2" t="s">
        <v>18</v>
      </c>
      <c r="E967" s="5">
        <v>-29969</v>
      </c>
      <c r="F967" s="3" t="s">
        <v>252</v>
      </c>
      <c r="G967" s="3" t="s">
        <v>112</v>
      </c>
      <c r="H967" s="2" t="s">
        <v>21</v>
      </c>
      <c r="I967" s="2" t="s">
        <v>2503</v>
      </c>
      <c r="J967" s="3" t="str">
        <f>HYPERLINK("https://www.boe.es/gazeta/dias/1817/12/11/pdfs/GMD-1817-148.pdf#page=11","Abrir facsímil")</f>
        <v>Abrir facsímil</v>
      </c>
      <c r="K967" s="3" t="s">
        <v>23</v>
      </c>
    </row>
    <row r="968" spans="1:11" ht="42" customHeight="1">
      <c r="A968" s="2" t="s">
        <v>2485</v>
      </c>
      <c r="B968" s="2" t="s">
        <v>2486</v>
      </c>
      <c r="C968" s="2" t="s">
        <v>17</v>
      </c>
      <c r="D968" s="2" t="s">
        <v>18</v>
      </c>
      <c r="E968" s="5">
        <v>-29967</v>
      </c>
      <c r="F968" s="3" t="s">
        <v>183</v>
      </c>
      <c r="G968" s="3" t="s">
        <v>77</v>
      </c>
      <c r="H968" s="2" t="s">
        <v>21</v>
      </c>
      <c r="I968" s="2" t="s">
        <v>2504</v>
      </c>
      <c r="J968" s="3" t="str">
        <f>HYPERLINK("https://www.boe.es/gazeta/dias/1817/12/13/pdfs/GMD-1817-149.pdf#page=8","Abrir facsímil")</f>
        <v>Abrir facsímil</v>
      </c>
      <c r="K968" s="3" t="s">
        <v>23</v>
      </c>
    </row>
    <row r="969" spans="1:11" ht="42" customHeight="1">
      <c r="A969" s="2" t="s">
        <v>2485</v>
      </c>
      <c r="B969" s="2" t="s">
        <v>2486</v>
      </c>
      <c r="C969" s="2" t="s">
        <v>43</v>
      </c>
      <c r="D969" s="2" t="s">
        <v>44</v>
      </c>
      <c r="E969" s="5">
        <v>-29964</v>
      </c>
      <c r="F969" s="3" t="s">
        <v>482</v>
      </c>
      <c r="G969" s="3" t="s">
        <v>483</v>
      </c>
      <c r="H969" s="2" t="s">
        <v>21</v>
      </c>
      <c r="I969" s="2" t="s">
        <v>2505</v>
      </c>
      <c r="J969" s="3" t="str">
        <f>HYPERLINK("https://www.boe.es/gazeta/dias/1817/12/16/pdfs/GMD-1817-150.pdf#page=12","Abrir facsímil")</f>
        <v>Abrir facsímil</v>
      </c>
      <c r="K969" s="3" t="s">
        <v>23</v>
      </c>
    </row>
    <row r="970" spans="1:11" ht="42" customHeight="1">
      <c r="A970" s="2" t="s">
        <v>2506</v>
      </c>
      <c r="B970" s="2" t="s">
        <v>2507</v>
      </c>
      <c r="C970" s="2" t="s">
        <v>36</v>
      </c>
      <c r="D970" s="2" t="s">
        <v>37</v>
      </c>
      <c r="E970" s="5">
        <v>-30230</v>
      </c>
      <c r="F970" s="3" t="s">
        <v>189</v>
      </c>
      <c r="G970" s="3" t="s">
        <v>77</v>
      </c>
      <c r="H970" s="2" t="s">
        <v>21</v>
      </c>
      <c r="I970" s="2" t="s">
        <v>2508</v>
      </c>
      <c r="J970" s="3" t="str">
        <f>HYPERLINK("https://www.boe.es/gazeta/dias/1817/03/25/pdfs/GMD-1817-36.pdf#page=8","Abrir facsímil")</f>
        <v>Abrir facsímil</v>
      </c>
      <c r="K970" s="3" t="s">
        <v>23</v>
      </c>
    </row>
    <row r="971" spans="1:11" ht="42" customHeight="1">
      <c r="A971" s="2" t="s">
        <v>2509</v>
      </c>
      <c r="B971" s="2" t="s">
        <v>2510</v>
      </c>
      <c r="C971" s="2" t="s">
        <v>43</v>
      </c>
      <c r="D971" s="2" t="s">
        <v>44</v>
      </c>
      <c r="E971" s="5">
        <v>-30027</v>
      </c>
      <c r="F971" s="3" t="s">
        <v>173</v>
      </c>
      <c r="G971" s="3" t="s">
        <v>77</v>
      </c>
      <c r="H971" s="2" t="s">
        <v>21</v>
      </c>
      <c r="I971" s="2" t="s">
        <v>2511</v>
      </c>
      <c r="J971" s="3" t="str">
        <f>HYPERLINK("https://www.boe.es/gazeta/dias/1817/10/14/pdfs/GMD-1817-123.pdf#page=8","Abrir facsímil")</f>
        <v>Abrir facsímil</v>
      </c>
      <c r="K971" s="3" t="s">
        <v>23</v>
      </c>
    </row>
    <row r="972" spans="1:11" ht="42" customHeight="1">
      <c r="A972" s="2" t="s">
        <v>2512</v>
      </c>
      <c r="B972" s="2" t="s">
        <v>2513</v>
      </c>
      <c r="C972" s="2" t="s">
        <v>36</v>
      </c>
      <c r="D972" s="2" t="s">
        <v>37</v>
      </c>
      <c r="E972" s="5">
        <v>-30083</v>
      </c>
      <c r="F972" s="3" t="s">
        <v>1273</v>
      </c>
      <c r="G972" s="3" t="s">
        <v>20</v>
      </c>
      <c r="H972" s="2" t="s">
        <v>21</v>
      </c>
      <c r="I972" s="2" t="s">
        <v>2514</v>
      </c>
      <c r="J972" s="3" t="str">
        <f>HYPERLINK("https://www.boe.es/gazeta/dias/1817/08/19/pdfs/GMD-1817-99.pdf#page=7","Abrir facsímil")</f>
        <v>Abrir facsímil</v>
      </c>
      <c r="K972" s="3" t="s">
        <v>23</v>
      </c>
    </row>
    <row r="973" spans="1:11" ht="42" customHeight="1">
      <c r="A973" s="2" t="s">
        <v>2515</v>
      </c>
      <c r="B973" s="2" t="s">
        <v>2515</v>
      </c>
      <c r="C973" s="2" t="s">
        <v>43</v>
      </c>
      <c r="D973" s="2" t="s">
        <v>44</v>
      </c>
      <c r="E973" s="5">
        <v>-30090</v>
      </c>
      <c r="F973" s="3" t="s">
        <v>89</v>
      </c>
      <c r="G973" s="3" t="s">
        <v>551</v>
      </c>
      <c r="H973" s="2" t="s">
        <v>21</v>
      </c>
      <c r="I973" s="2" t="s">
        <v>2516</v>
      </c>
      <c r="J973" s="3" t="str">
        <f>HYPERLINK("https://www.boe.es/gazeta/dias/1817/08/12/pdfs/GMD-1817-96.pdf#page=3","Abrir facsímil")</f>
        <v>Abrir facsímil</v>
      </c>
      <c r="K973" s="3" t="s">
        <v>23</v>
      </c>
    </row>
    <row r="974" spans="1:11" ht="42" customHeight="1">
      <c r="A974" s="2" t="s">
        <v>2517</v>
      </c>
      <c r="B974" s="2" t="s">
        <v>2518</v>
      </c>
      <c r="C974" s="2" t="s">
        <v>36</v>
      </c>
      <c r="D974" s="2" t="s">
        <v>37</v>
      </c>
      <c r="E974" s="5">
        <v>-30107</v>
      </c>
      <c r="F974" s="3" t="s">
        <v>307</v>
      </c>
      <c r="G974" s="3" t="s">
        <v>77</v>
      </c>
      <c r="H974" s="2" t="s">
        <v>21</v>
      </c>
      <c r="I974" s="2" t="s">
        <v>2519</v>
      </c>
      <c r="J974" s="3" t="str">
        <f>HYPERLINK("https://www.boe.es/gazeta/dias/1817/07/26/pdfs/GMD-1817-89.pdf#page=8","Abrir facsímil")</f>
        <v>Abrir facsímil</v>
      </c>
      <c r="K974" s="3" t="s">
        <v>23</v>
      </c>
    </row>
    <row r="975" spans="1:11" ht="42" customHeight="1">
      <c r="A975" s="2" t="s">
        <v>2520</v>
      </c>
      <c r="B975" s="2" t="s">
        <v>2521</v>
      </c>
      <c r="C975" s="2" t="s">
        <v>17</v>
      </c>
      <c r="D975" s="2" t="s">
        <v>18</v>
      </c>
      <c r="E975" s="5">
        <v>-30261</v>
      </c>
      <c r="F975" s="3" t="s">
        <v>226</v>
      </c>
      <c r="G975" s="3" t="s">
        <v>1699</v>
      </c>
      <c r="H975" s="2" t="s">
        <v>21</v>
      </c>
      <c r="I975" s="2" t="s">
        <v>2522</v>
      </c>
      <c r="J975" s="3" t="str">
        <f>HYPERLINK("https://www.boe.es/gazeta/dias/1817/02/22/pdfs/GMD-1817-23.pdf#page=8","Abrir facsímil")</f>
        <v>Abrir facsímil</v>
      </c>
      <c r="K975" s="3" t="s">
        <v>23</v>
      </c>
    </row>
    <row r="976" spans="1:11" ht="42" customHeight="1">
      <c r="A976" s="2" t="s">
        <v>2523</v>
      </c>
      <c r="B976" s="2" t="s">
        <v>2524</v>
      </c>
      <c r="C976" s="2" t="s">
        <v>138</v>
      </c>
      <c r="D976" s="2" t="s">
        <v>44</v>
      </c>
      <c r="E976" s="5">
        <v>-30163</v>
      </c>
      <c r="F976" s="3" t="s">
        <v>166</v>
      </c>
      <c r="G976" s="3" t="s">
        <v>2525</v>
      </c>
      <c r="H976" s="2" t="s">
        <v>21</v>
      </c>
      <c r="I976" s="2" t="s">
        <v>2526</v>
      </c>
      <c r="J976" s="3" t="str">
        <f>HYPERLINK("https://www.boe.es/gazeta/dias/1817/05/31/pdfs/GMD-1817-65.pdf#page=8","Abrir facsímil")</f>
        <v>Abrir facsímil</v>
      </c>
      <c r="K976" s="3" t="s">
        <v>23</v>
      </c>
    </row>
    <row r="977" spans="1:11" ht="42" customHeight="1">
      <c r="A977" s="2" t="s">
        <v>2527</v>
      </c>
      <c r="B977" s="2" t="s">
        <v>2528</v>
      </c>
      <c r="C977" s="2" t="s">
        <v>36</v>
      </c>
      <c r="D977" s="2" t="s">
        <v>37</v>
      </c>
      <c r="E977" s="5">
        <v>-30261</v>
      </c>
      <c r="F977" s="3" t="s">
        <v>226</v>
      </c>
      <c r="G977" s="3" t="s">
        <v>1699</v>
      </c>
      <c r="H977" s="2" t="s">
        <v>21</v>
      </c>
      <c r="I977" s="2" t="s">
        <v>2529</v>
      </c>
      <c r="J977" s="3" t="str">
        <f>HYPERLINK("https://www.boe.es/gazeta/dias/1817/02/22/pdfs/GMD-1817-23.pdf#page=8","Abrir facsímil")</f>
        <v>Abrir facsímil</v>
      </c>
      <c r="K977" s="3" t="s">
        <v>23</v>
      </c>
    </row>
    <row r="978" spans="1:11" ht="42" customHeight="1">
      <c r="A978" s="2" t="s">
        <v>2527</v>
      </c>
      <c r="B978" s="2" t="s">
        <v>2528</v>
      </c>
      <c r="C978" s="2" t="s">
        <v>17</v>
      </c>
      <c r="D978" s="2" t="s">
        <v>18</v>
      </c>
      <c r="E978" s="5">
        <v>-30170</v>
      </c>
      <c r="F978" s="3" t="s">
        <v>98</v>
      </c>
      <c r="G978" s="3" t="s">
        <v>77</v>
      </c>
      <c r="H978" s="2" t="s">
        <v>21</v>
      </c>
      <c r="I978" s="2" t="s">
        <v>2530</v>
      </c>
      <c r="J978" s="3" t="str">
        <f>HYPERLINK("https://www.boe.es/gazeta/dias/1817/05/24/pdfs/GMD-1817-62.pdf#page=8","Abrir facsímil")</f>
        <v>Abrir facsímil</v>
      </c>
      <c r="K978" s="3" t="s">
        <v>23</v>
      </c>
    </row>
    <row r="979" spans="1:11" ht="42" customHeight="1">
      <c r="A979" s="2" t="s">
        <v>2527</v>
      </c>
      <c r="B979" s="2" t="s">
        <v>2528</v>
      </c>
      <c r="C979" s="2" t="s">
        <v>17</v>
      </c>
      <c r="D979" s="2" t="s">
        <v>18</v>
      </c>
      <c r="E979" s="5">
        <v>-30139</v>
      </c>
      <c r="F979" s="3" t="s">
        <v>993</v>
      </c>
      <c r="G979" s="3" t="s">
        <v>77</v>
      </c>
      <c r="H979" s="2" t="s">
        <v>21</v>
      </c>
      <c r="I979" s="2" t="s">
        <v>2531</v>
      </c>
      <c r="J979" s="3" t="str">
        <f>HYPERLINK("https://www.boe.es/gazeta/dias/1817/06/24/pdfs/GMD-1817-75.pdf#page=8","Abrir facsímil")</f>
        <v>Abrir facsímil</v>
      </c>
      <c r="K979" s="3" t="s">
        <v>23</v>
      </c>
    </row>
    <row r="980" spans="1:11" ht="42" customHeight="1">
      <c r="A980" s="2" t="s">
        <v>2527</v>
      </c>
      <c r="B980" s="2" t="s">
        <v>2528</v>
      </c>
      <c r="C980" s="2" t="s">
        <v>17</v>
      </c>
      <c r="D980" s="2" t="s">
        <v>18</v>
      </c>
      <c r="E980" s="5">
        <v>-30086</v>
      </c>
      <c r="F980" s="3" t="s">
        <v>221</v>
      </c>
      <c r="G980" s="3" t="s">
        <v>222</v>
      </c>
      <c r="H980" s="2" t="s">
        <v>21</v>
      </c>
      <c r="I980" s="2" t="s">
        <v>2532</v>
      </c>
      <c r="J980" s="3" t="str">
        <f>HYPERLINK("https://www.boe.es/gazeta/dias/1817/08/16/pdfs/GMD-1817-98.pdf#page=8","Abrir facsímil")</f>
        <v>Abrir facsímil</v>
      </c>
      <c r="K980" s="3" t="s">
        <v>23</v>
      </c>
    </row>
    <row r="981" spans="1:11" ht="42" customHeight="1">
      <c r="A981" s="2" t="s">
        <v>2527</v>
      </c>
      <c r="B981" s="2" t="s">
        <v>2528</v>
      </c>
      <c r="C981" s="2" t="s">
        <v>36</v>
      </c>
      <c r="D981" s="2" t="s">
        <v>37</v>
      </c>
      <c r="E981" s="5">
        <v>-30030</v>
      </c>
      <c r="F981" s="3" t="s">
        <v>508</v>
      </c>
      <c r="G981" s="3" t="s">
        <v>82</v>
      </c>
      <c r="H981" s="2" t="s">
        <v>21</v>
      </c>
      <c r="I981" s="2" t="s">
        <v>2533</v>
      </c>
      <c r="J981" s="3" t="str">
        <f>HYPERLINK("https://www.boe.es/gazeta/dias/1817/10/11/pdfs/GMD-1817-122.pdf#page=12","Abrir facsímil")</f>
        <v>Abrir facsímil</v>
      </c>
      <c r="K981" s="3" t="s">
        <v>23</v>
      </c>
    </row>
    <row r="982" spans="1:11" ht="42" customHeight="1">
      <c r="A982" s="2" t="s">
        <v>2527</v>
      </c>
      <c r="B982" s="2" t="s">
        <v>2528</v>
      </c>
      <c r="C982" s="2" t="s">
        <v>17</v>
      </c>
      <c r="D982" s="2" t="s">
        <v>18</v>
      </c>
      <c r="E982" s="5">
        <v>-30020</v>
      </c>
      <c r="F982" s="3" t="s">
        <v>291</v>
      </c>
      <c r="G982" s="3" t="s">
        <v>2534</v>
      </c>
      <c r="H982" s="2" t="s">
        <v>21</v>
      </c>
      <c r="I982" s="2" t="s">
        <v>2535</v>
      </c>
      <c r="J982" s="3" t="str">
        <f>HYPERLINK("https://www.boe.es/gazeta/dias/1817/10/21/pdfs/GMD-1817-126.pdf#page=8","Abrir facsímil")</f>
        <v>Abrir facsímil</v>
      </c>
      <c r="K982" s="3" t="s">
        <v>23</v>
      </c>
    </row>
    <row r="983" spans="1:11" ht="42" customHeight="1">
      <c r="A983" s="2" t="s">
        <v>2536</v>
      </c>
      <c r="B983" s="2" t="s">
        <v>2537</v>
      </c>
      <c r="C983" s="2" t="s">
        <v>17</v>
      </c>
      <c r="D983" s="2" t="s">
        <v>18</v>
      </c>
      <c r="E983" s="5">
        <v>-29985</v>
      </c>
      <c r="F983" s="3" t="s">
        <v>76</v>
      </c>
      <c r="G983" s="3" t="s">
        <v>112</v>
      </c>
      <c r="H983" s="2" t="s">
        <v>21</v>
      </c>
      <c r="I983" s="2" t="s">
        <v>2538</v>
      </c>
      <c r="J983" s="3" t="str">
        <f>HYPERLINK("https://www.boe.es/gazeta/dias/1817/11/25/pdfs/GMD-1817-141.pdf#page=11","Abrir facsímil")</f>
        <v>Abrir facsímil</v>
      </c>
      <c r="K983" s="3" t="s">
        <v>23</v>
      </c>
    </row>
    <row r="984" spans="1:11" ht="42" customHeight="1">
      <c r="A984" s="2" t="s">
        <v>2539</v>
      </c>
      <c r="B984" s="2" t="s">
        <v>2539</v>
      </c>
      <c r="C984" s="2" t="s">
        <v>43</v>
      </c>
      <c r="D984" s="2" t="s">
        <v>44</v>
      </c>
      <c r="E984" s="5">
        <v>-30272</v>
      </c>
      <c r="F984" s="3" t="s">
        <v>493</v>
      </c>
      <c r="G984" s="3" t="s">
        <v>39</v>
      </c>
      <c r="H984" s="2" t="s">
        <v>21</v>
      </c>
      <c r="I984" s="2" t="s">
        <v>2540</v>
      </c>
      <c r="J984" s="3" t="str">
        <f>HYPERLINK("https://www.boe.es/gazeta/dias/1817/02/11/pdfs/GMD-1817-18.pdf#page=5","Abrir facsímil")</f>
        <v>Abrir facsímil</v>
      </c>
      <c r="K984" s="3" t="s">
        <v>23</v>
      </c>
    </row>
    <row r="985" spans="1:11" ht="42" customHeight="1">
      <c r="A985" s="2" t="s">
        <v>2541</v>
      </c>
      <c r="B985" s="2" t="s">
        <v>2542</v>
      </c>
      <c r="C985" s="2" t="s">
        <v>43</v>
      </c>
      <c r="D985" s="2" t="s">
        <v>44</v>
      </c>
      <c r="E985" s="5">
        <v>-30114</v>
      </c>
      <c r="F985" s="3" t="s">
        <v>500</v>
      </c>
      <c r="G985" s="3" t="s">
        <v>20</v>
      </c>
      <c r="H985" s="2" t="s">
        <v>21</v>
      </c>
      <c r="I985" s="2" t="s">
        <v>2543</v>
      </c>
      <c r="J985" s="3" t="str">
        <f>HYPERLINK("https://www.boe.es/gazeta/dias/1817/07/19/pdfs/GMD-1817-86.pdf#page=7","Abrir facsímil")</f>
        <v>Abrir facsímil</v>
      </c>
      <c r="K985" s="3" t="s">
        <v>23</v>
      </c>
    </row>
    <row r="986" spans="1:11" ht="42" customHeight="1">
      <c r="A986" s="2" t="s">
        <v>2544</v>
      </c>
      <c r="B986" s="2" t="s">
        <v>2544</v>
      </c>
      <c r="C986" s="2" t="s">
        <v>55</v>
      </c>
      <c r="D986" s="2" t="s">
        <v>44</v>
      </c>
      <c r="E986" s="5">
        <v>-30242</v>
      </c>
      <c r="F986" s="3" t="s">
        <v>62</v>
      </c>
      <c r="G986" s="3" t="s">
        <v>77</v>
      </c>
      <c r="H986" s="2" t="s">
        <v>21</v>
      </c>
      <c r="I986" s="2" t="s">
        <v>2545</v>
      </c>
      <c r="J986" s="3" t="str">
        <f>HYPERLINK("https://www.boe.es/gazeta/dias/1817/03/13/pdfs/GMD-1817-31.pdf#page=8","Abrir facsímil")</f>
        <v>Abrir facsímil</v>
      </c>
      <c r="K986" s="3" t="s">
        <v>23</v>
      </c>
    </row>
    <row r="987" spans="1:11" ht="42" customHeight="1">
      <c r="A987" s="2" t="s">
        <v>2544</v>
      </c>
      <c r="B987" s="2" t="s">
        <v>2544</v>
      </c>
      <c r="C987" s="2" t="s">
        <v>510</v>
      </c>
      <c r="D987" s="2" t="s">
        <v>44</v>
      </c>
      <c r="E987" s="5">
        <v>-30142</v>
      </c>
      <c r="F987" s="3" t="s">
        <v>286</v>
      </c>
      <c r="G987" s="3" t="s">
        <v>497</v>
      </c>
      <c r="H987" s="2" t="s">
        <v>21</v>
      </c>
      <c r="I987" s="2" t="s">
        <v>2546</v>
      </c>
      <c r="J987" s="3" t="str">
        <f>HYPERLINK("https://www.boe.es/gazeta/dias/1817/06/21/pdfs/GMD-1817-74.pdf#page=8","Abrir facsímil")</f>
        <v>Abrir facsímil</v>
      </c>
      <c r="K987" s="3" t="s">
        <v>23</v>
      </c>
    </row>
    <row r="988" spans="1:11" ht="42" customHeight="1">
      <c r="A988" s="2" t="s">
        <v>2547</v>
      </c>
      <c r="B988" s="2" t="s">
        <v>2548</v>
      </c>
      <c r="C988" s="2" t="s">
        <v>36</v>
      </c>
      <c r="D988" s="2" t="s">
        <v>37</v>
      </c>
      <c r="E988" s="5">
        <v>-30149</v>
      </c>
      <c r="F988" s="3" t="s">
        <v>430</v>
      </c>
      <c r="G988" s="3" t="s">
        <v>57</v>
      </c>
      <c r="H988" s="2" t="s">
        <v>21</v>
      </c>
      <c r="I988" s="2" t="s">
        <v>2549</v>
      </c>
      <c r="J988" s="3" t="str">
        <f>HYPERLINK("https://www.boe.es/gazeta/dias/1817/06/14/pdfs/GMD-1817-71.pdf#page=6","Abrir facsímil")</f>
        <v>Abrir facsímil</v>
      </c>
      <c r="K988" s="3" t="s">
        <v>23</v>
      </c>
    </row>
    <row r="989" spans="1:11" ht="42" customHeight="1">
      <c r="A989" s="2" t="s">
        <v>2550</v>
      </c>
      <c r="B989" s="2" t="s">
        <v>2551</v>
      </c>
      <c r="C989" s="2" t="s">
        <v>510</v>
      </c>
      <c r="D989" s="2" t="s">
        <v>44</v>
      </c>
      <c r="E989" s="5">
        <v>-30233</v>
      </c>
      <c r="F989" s="3" t="s">
        <v>577</v>
      </c>
      <c r="G989" s="3" t="s">
        <v>39</v>
      </c>
      <c r="H989" s="2" t="s">
        <v>21</v>
      </c>
      <c r="I989" s="2" t="s">
        <v>2552</v>
      </c>
      <c r="J989" s="3" t="str">
        <f>HYPERLINK("https://www.boe.es/gazeta/dias/1817/03/22/pdfs/GMD-1817-35.pdf#page=5","Abrir facsímil")</f>
        <v>Abrir facsímil</v>
      </c>
      <c r="K989" s="3" t="s">
        <v>23</v>
      </c>
    </row>
    <row r="990" spans="1:11" ht="42" customHeight="1">
      <c r="A990" s="2" t="s">
        <v>2553</v>
      </c>
      <c r="B990" s="2" t="s">
        <v>2554</v>
      </c>
      <c r="C990" s="2" t="s">
        <v>36</v>
      </c>
      <c r="D990" s="2" t="s">
        <v>37</v>
      </c>
      <c r="E990" s="5">
        <v>-30296</v>
      </c>
      <c r="F990" s="3" t="s">
        <v>357</v>
      </c>
      <c r="G990" s="3" t="s">
        <v>551</v>
      </c>
      <c r="H990" s="2" t="s">
        <v>21</v>
      </c>
      <c r="I990" s="2" t="s">
        <v>2555</v>
      </c>
      <c r="J990" s="3" t="str">
        <f>HYPERLINK("https://www.boe.es/gazeta/dias/1817/01/18/pdfs/GMD-1817-8.pdf#page=3","Abrir facsímil")</f>
        <v>Abrir facsímil</v>
      </c>
      <c r="K990" s="3" t="s">
        <v>23</v>
      </c>
    </row>
    <row r="991" spans="1:11" ht="42" customHeight="1">
      <c r="A991" s="2" t="s">
        <v>2556</v>
      </c>
      <c r="B991" s="2" t="s">
        <v>2556</v>
      </c>
      <c r="C991" s="2" t="s">
        <v>36</v>
      </c>
      <c r="D991" s="2" t="s">
        <v>37</v>
      </c>
      <c r="E991" s="5">
        <v>-29999</v>
      </c>
      <c r="F991" s="3" t="s">
        <v>471</v>
      </c>
      <c r="G991" s="3" t="s">
        <v>650</v>
      </c>
      <c r="H991" s="2" t="s">
        <v>21</v>
      </c>
      <c r="I991" s="2" t="s">
        <v>2557</v>
      </c>
      <c r="J991" s="3" t="str">
        <f>HYPERLINK("https://www.boe.es/gazeta/dias/1817/11/11/pdfs/GMD-1817-135.pdf#page=5","Abrir facsímil")</f>
        <v>Abrir facsímil</v>
      </c>
      <c r="K991" s="3" t="s">
        <v>23</v>
      </c>
    </row>
    <row r="992" spans="1:11" ht="42" customHeight="1">
      <c r="A992" s="2" t="s">
        <v>2558</v>
      </c>
      <c r="B992" s="2" t="s">
        <v>2559</v>
      </c>
      <c r="C992" s="2" t="s">
        <v>17</v>
      </c>
      <c r="D992" s="2" t="s">
        <v>18</v>
      </c>
      <c r="E992" s="5">
        <v>-30172</v>
      </c>
      <c r="F992" s="3" t="s">
        <v>991</v>
      </c>
      <c r="G992" s="3" t="s">
        <v>77</v>
      </c>
      <c r="H992" s="2" t="s">
        <v>21</v>
      </c>
      <c r="I992" s="2" t="s">
        <v>2560</v>
      </c>
      <c r="J992" s="3" t="str">
        <f>HYPERLINK("https://www.boe.es/gazeta/dias/1817/05/22/pdfs/GMD-1817-61.pdf#page=8","Abrir facsímil")</f>
        <v>Abrir facsímil</v>
      </c>
      <c r="K992" s="3" t="s">
        <v>23</v>
      </c>
    </row>
    <row r="993" spans="1:11" ht="42" customHeight="1">
      <c r="A993" s="2" t="s">
        <v>2561</v>
      </c>
      <c r="B993" s="2" t="s">
        <v>2562</v>
      </c>
      <c r="C993" s="2" t="s">
        <v>36</v>
      </c>
      <c r="D993" s="2" t="s">
        <v>37</v>
      </c>
      <c r="E993" s="5">
        <v>-30156</v>
      </c>
      <c r="F993" s="3" t="s">
        <v>635</v>
      </c>
      <c r="G993" s="3" t="s">
        <v>77</v>
      </c>
      <c r="H993" s="2" t="s">
        <v>27</v>
      </c>
      <c r="I993" s="2" t="s">
        <v>2563</v>
      </c>
      <c r="J993" s="3" t="str">
        <f>HYPERLINK("https://www.boe.es/gazeta/dias/1817/06/07/pdfs/GMD-1817-68.pdf#page=8","Abrir facsímil")</f>
        <v>Abrir facsímil</v>
      </c>
      <c r="K993" s="3" t="s">
        <v>29</v>
      </c>
    </row>
    <row r="994" spans="1:11" ht="42" customHeight="1">
      <c r="A994" s="2" t="s">
        <v>2564</v>
      </c>
      <c r="B994" s="2" t="s">
        <v>2565</v>
      </c>
      <c r="C994" s="2" t="s">
        <v>49</v>
      </c>
      <c r="D994" s="2" t="s">
        <v>44</v>
      </c>
      <c r="E994" s="5">
        <v>-29990</v>
      </c>
      <c r="F994" s="3" t="s">
        <v>542</v>
      </c>
      <c r="G994" s="3" t="s">
        <v>77</v>
      </c>
      <c r="H994" s="2" t="s">
        <v>21</v>
      </c>
      <c r="I994" s="2" t="s">
        <v>2566</v>
      </c>
      <c r="J994" s="3" t="str">
        <f>HYPERLINK("https://www.boe.es/gazeta/dias/1817/11/20/pdfs/GMD-1817-139.pdf#page=8","Abrir facsímil")</f>
        <v>Abrir facsímil</v>
      </c>
      <c r="K994" s="3" t="s">
        <v>23</v>
      </c>
    </row>
    <row r="995" spans="1:11" ht="42" customHeight="1">
      <c r="A995" s="2" t="s">
        <v>2567</v>
      </c>
      <c r="B995" s="2" t="s">
        <v>2568</v>
      </c>
      <c r="C995" s="2" t="s">
        <v>17</v>
      </c>
      <c r="D995" s="2" t="s">
        <v>18</v>
      </c>
      <c r="E995" s="5">
        <v>-30310</v>
      </c>
      <c r="F995" s="3" t="s">
        <v>93</v>
      </c>
      <c r="G995" s="3" t="s">
        <v>77</v>
      </c>
      <c r="H995" s="2" t="s">
        <v>27</v>
      </c>
      <c r="I995" s="2" t="s">
        <v>2569</v>
      </c>
      <c r="J995" s="3" t="str">
        <f>HYPERLINK("https://www.boe.es/gazeta/dias/1817/01/04/pdfs/GMD-1817-2.pdf#page=8","Abrir facsímil")</f>
        <v>Abrir facsímil</v>
      </c>
      <c r="K995" s="3" t="s">
        <v>29</v>
      </c>
    </row>
    <row r="996" spans="1:11" ht="42" customHeight="1">
      <c r="A996" s="2" t="s">
        <v>2570</v>
      </c>
      <c r="B996" s="2" t="s">
        <v>2571</v>
      </c>
      <c r="C996" s="2" t="s">
        <v>510</v>
      </c>
      <c r="D996" s="2" t="s">
        <v>44</v>
      </c>
      <c r="E996" s="5">
        <v>-29955</v>
      </c>
      <c r="F996" s="3" t="s">
        <v>805</v>
      </c>
      <c r="G996" s="3" t="s">
        <v>806</v>
      </c>
      <c r="H996" s="2" t="s">
        <v>21</v>
      </c>
      <c r="I996" s="2" t="s">
        <v>2572</v>
      </c>
      <c r="J996" s="3" t="str">
        <f>HYPERLINK("https://www.boe.es/gazeta/dias/1817/12/25/pdfs/GMD-1817-154.pdf#page=5","Abrir facsímil")</f>
        <v>Abrir facsímil</v>
      </c>
      <c r="K996" s="3" t="s">
        <v>23</v>
      </c>
    </row>
    <row r="997" spans="1:11" ht="42" customHeight="1">
      <c r="A997" s="2" t="s">
        <v>2573</v>
      </c>
      <c r="B997" s="2" t="s">
        <v>2574</v>
      </c>
      <c r="C997" s="2" t="s">
        <v>36</v>
      </c>
      <c r="D997" s="2" t="s">
        <v>37</v>
      </c>
      <c r="E997" s="5">
        <v>-29995</v>
      </c>
      <c r="F997" s="3" t="s">
        <v>514</v>
      </c>
      <c r="G997" s="3" t="s">
        <v>57</v>
      </c>
      <c r="H997" s="2" t="s">
        <v>21</v>
      </c>
      <c r="I997" s="2" t="s">
        <v>2575</v>
      </c>
      <c r="J997" s="3" t="str">
        <f>HYPERLINK("https://www.boe.es/gazeta/dias/1817/11/15/pdfs/GMD-1817-137.pdf#page=6","Abrir facsímil")</f>
        <v>Abrir facsímil</v>
      </c>
      <c r="K997" s="3" t="s">
        <v>23</v>
      </c>
    </row>
    <row r="998" spans="1:11" ht="42" customHeight="1">
      <c r="A998" s="2" t="s">
        <v>2576</v>
      </c>
      <c r="B998" s="2" t="s">
        <v>2577</v>
      </c>
      <c r="C998" s="2" t="s">
        <v>36</v>
      </c>
      <c r="D998" s="2" t="s">
        <v>37</v>
      </c>
      <c r="E998" s="5">
        <v>-30067</v>
      </c>
      <c r="F998" s="3" t="s">
        <v>1221</v>
      </c>
      <c r="G998" s="3" t="s">
        <v>144</v>
      </c>
      <c r="H998" s="2" t="s">
        <v>21</v>
      </c>
      <c r="I998" s="2" t="s">
        <v>2578</v>
      </c>
      <c r="J998" s="3" t="str">
        <f>HYPERLINK("https://www.boe.es/gazeta/dias/1817/09/04/pdfs/GMD-1817-106.pdf#page=4","Abrir facsímil")</f>
        <v>Abrir facsímil</v>
      </c>
      <c r="K998" s="3" t="s">
        <v>23</v>
      </c>
    </row>
    <row r="999" spans="1:11" ht="42" customHeight="1">
      <c r="A999" s="2" t="s">
        <v>2576</v>
      </c>
      <c r="B999" s="2" t="s">
        <v>2577</v>
      </c>
      <c r="C999" s="2" t="s">
        <v>36</v>
      </c>
      <c r="D999" s="2" t="s">
        <v>37</v>
      </c>
      <c r="E999" s="5">
        <v>-29974</v>
      </c>
      <c r="F999" s="3" t="s">
        <v>32</v>
      </c>
      <c r="G999" s="3" t="s">
        <v>20</v>
      </c>
      <c r="H999" s="2" t="s">
        <v>21</v>
      </c>
      <c r="I999" s="2" t="s">
        <v>2579</v>
      </c>
      <c r="J999" s="3" t="str">
        <f>HYPERLINK("https://www.boe.es/gazeta/dias/1817/12/06/pdfs/GMD-1817-146.pdf#page=7","Abrir facsímil")</f>
        <v>Abrir facsímil</v>
      </c>
      <c r="K999" s="3" t="s">
        <v>23</v>
      </c>
    </row>
    <row r="1000" spans="1:11" ht="42" customHeight="1">
      <c r="A1000" s="2" t="s">
        <v>2580</v>
      </c>
      <c r="B1000" s="2" t="s">
        <v>2581</v>
      </c>
      <c r="C1000" s="2" t="s">
        <v>510</v>
      </c>
      <c r="D1000" s="2" t="s">
        <v>44</v>
      </c>
      <c r="E1000" s="5">
        <v>-30016</v>
      </c>
      <c r="F1000" s="3" t="s">
        <v>2582</v>
      </c>
      <c r="G1000" s="3" t="s">
        <v>551</v>
      </c>
      <c r="H1000" s="2" t="s">
        <v>21</v>
      </c>
      <c r="I1000" s="2" t="s">
        <v>2583</v>
      </c>
      <c r="J1000" s="3" t="str">
        <f>HYPERLINK("https://www.boe.es/gazeta/dias/1817/10/25/pdfs/GMD-1817-128.pdf#page=3","Abrir facsímil")</f>
        <v>Abrir facsímil</v>
      </c>
      <c r="K1000" s="3" t="s">
        <v>23</v>
      </c>
    </row>
    <row r="1001" spans="1:11" ht="42" customHeight="1">
      <c r="A1001" s="2" t="s">
        <v>2580</v>
      </c>
      <c r="B1001" s="2" t="s">
        <v>2581</v>
      </c>
      <c r="C1001" s="2" t="s">
        <v>17</v>
      </c>
      <c r="D1001" s="2" t="s">
        <v>18</v>
      </c>
      <c r="E1001" s="5">
        <v>-29992</v>
      </c>
      <c r="F1001" s="3" t="s">
        <v>50</v>
      </c>
      <c r="G1001" s="3" t="s">
        <v>2584</v>
      </c>
      <c r="H1001" s="2" t="s">
        <v>21</v>
      </c>
      <c r="I1001" s="2" t="s">
        <v>2585</v>
      </c>
      <c r="J1001" s="3" t="str">
        <f>HYPERLINK("https://www.boe.es/gazeta/dias/1817/11/18/pdfs/GMD-1817-138.pdf#page=2","Abrir facsímil")</f>
        <v>Abrir facsímil</v>
      </c>
      <c r="K1001" s="3" t="s">
        <v>23</v>
      </c>
    </row>
    <row r="1002" spans="1:11" ht="42" customHeight="1">
      <c r="A1002" s="2" t="s">
        <v>2586</v>
      </c>
      <c r="B1002" s="2" t="s">
        <v>2587</v>
      </c>
      <c r="C1002" s="2" t="s">
        <v>36</v>
      </c>
      <c r="D1002" s="2" t="s">
        <v>37</v>
      </c>
      <c r="E1002" s="5">
        <v>-29995</v>
      </c>
      <c r="F1002" s="3" t="s">
        <v>514</v>
      </c>
      <c r="G1002" s="3" t="s">
        <v>57</v>
      </c>
      <c r="H1002" s="2" t="s">
        <v>21</v>
      </c>
      <c r="I1002" s="2" t="s">
        <v>2588</v>
      </c>
      <c r="J1002" s="3" t="str">
        <f>HYPERLINK("https://www.boe.es/gazeta/dias/1817/11/15/pdfs/GMD-1817-137.pdf#page=6","Abrir facsímil")</f>
        <v>Abrir facsímil</v>
      </c>
      <c r="K1002" s="3" t="s">
        <v>23</v>
      </c>
    </row>
    <row r="1003" spans="1:11" ht="42" customHeight="1">
      <c r="A1003" s="2" t="s">
        <v>2589</v>
      </c>
      <c r="B1003" s="2" t="s">
        <v>2589</v>
      </c>
      <c r="C1003" s="2" t="s">
        <v>36</v>
      </c>
      <c r="D1003" s="2" t="s">
        <v>37</v>
      </c>
      <c r="E1003" s="5">
        <v>-30095</v>
      </c>
      <c r="F1003" s="3" t="s">
        <v>365</v>
      </c>
      <c r="G1003" s="3" t="s">
        <v>144</v>
      </c>
      <c r="H1003" s="2" t="s">
        <v>21</v>
      </c>
      <c r="I1003" s="2" t="s">
        <v>2590</v>
      </c>
      <c r="J1003" s="3" t="str">
        <f>HYPERLINK("https://www.boe.es/gazeta/dias/1817/08/07/pdfs/GMD-1817-94.pdf#page=4","Abrir facsímil")</f>
        <v>Abrir facsímil</v>
      </c>
      <c r="K1003" s="3" t="s">
        <v>23</v>
      </c>
    </row>
    <row r="1004" spans="1:11" ht="42" customHeight="1">
      <c r="A1004" s="2" t="s">
        <v>2591</v>
      </c>
      <c r="B1004" s="2" t="s">
        <v>2592</v>
      </c>
      <c r="C1004" s="2" t="s">
        <v>36</v>
      </c>
      <c r="D1004" s="2" t="s">
        <v>37</v>
      </c>
      <c r="E1004" s="5">
        <v>-29957</v>
      </c>
      <c r="F1004" s="3" t="s">
        <v>1001</v>
      </c>
      <c r="G1004" s="3" t="s">
        <v>20</v>
      </c>
      <c r="H1004" s="2" t="s">
        <v>21</v>
      </c>
      <c r="I1004" s="2" t="s">
        <v>2593</v>
      </c>
      <c r="J1004" s="3" t="str">
        <f>HYPERLINK("https://www.boe.es/gazeta/dias/1817/12/23/pdfs/GMD-1817-153.pdf#page=7","Abrir facsímil")</f>
        <v>Abrir facsímil</v>
      </c>
      <c r="K1004" s="3" t="s">
        <v>23</v>
      </c>
    </row>
    <row r="1005" spans="1:11" ht="42" customHeight="1">
      <c r="A1005" s="2" t="s">
        <v>2594</v>
      </c>
      <c r="B1005" s="2" t="s">
        <v>2595</v>
      </c>
      <c r="C1005" s="2" t="s">
        <v>36</v>
      </c>
      <c r="D1005" s="2" t="s">
        <v>37</v>
      </c>
      <c r="E1005" s="5">
        <v>-30006</v>
      </c>
      <c r="F1005" s="3" t="s">
        <v>210</v>
      </c>
      <c r="G1005" s="3" t="s">
        <v>20</v>
      </c>
      <c r="H1005" s="2" t="s">
        <v>21</v>
      </c>
      <c r="I1005" s="2" t="s">
        <v>2596</v>
      </c>
      <c r="J1005" s="3" t="str">
        <f>HYPERLINK("https://www.boe.es/gazeta/dias/1817/11/04/pdfs/GMD-1817-132.pdf#page=7","Abrir facsímil")</f>
        <v>Abrir facsímil</v>
      </c>
      <c r="K1005" s="3" t="s">
        <v>23</v>
      </c>
    </row>
    <row r="1006" spans="1:11" ht="42" customHeight="1">
      <c r="A1006" s="2" t="s">
        <v>2597</v>
      </c>
      <c r="B1006" s="2" t="s">
        <v>2598</v>
      </c>
      <c r="C1006" s="2" t="s">
        <v>36</v>
      </c>
      <c r="D1006" s="2" t="s">
        <v>37</v>
      </c>
      <c r="E1006" s="5">
        <v>-30237</v>
      </c>
      <c r="F1006" s="3" t="s">
        <v>56</v>
      </c>
      <c r="G1006" s="3" t="s">
        <v>57</v>
      </c>
      <c r="H1006" s="2" t="s">
        <v>21</v>
      </c>
      <c r="I1006" s="2" t="s">
        <v>2599</v>
      </c>
      <c r="J1006" s="3" t="str">
        <f>HYPERLINK("https://www.boe.es/gazeta/dias/1817/03/18/pdfs/GMD-1817-33.pdf#page=6","Abrir facsímil")</f>
        <v>Abrir facsímil</v>
      </c>
      <c r="K1006" s="3" t="s">
        <v>23</v>
      </c>
    </row>
    <row r="1007" spans="1:11" ht="42" customHeight="1">
      <c r="A1007" s="2" t="s">
        <v>2597</v>
      </c>
      <c r="B1007" s="2" t="s">
        <v>2598</v>
      </c>
      <c r="C1007" s="2" t="s">
        <v>36</v>
      </c>
      <c r="D1007" s="2" t="s">
        <v>37</v>
      </c>
      <c r="E1007" s="5">
        <v>-30109</v>
      </c>
      <c r="F1007" s="3" t="s">
        <v>205</v>
      </c>
      <c r="G1007" s="3" t="s">
        <v>311</v>
      </c>
      <c r="H1007" s="2" t="s">
        <v>21</v>
      </c>
      <c r="I1007" s="2" t="s">
        <v>2600</v>
      </c>
      <c r="J1007" s="3" t="str">
        <f>HYPERLINK("https://www.boe.es/gazeta/dias/1817/07/24/pdfs/GMD-1817-88.pdf#page=12","Abrir facsímil")</f>
        <v>Abrir facsímil</v>
      </c>
      <c r="K1007" s="3" t="s">
        <v>23</v>
      </c>
    </row>
    <row r="1008" spans="1:11" ht="42" customHeight="1">
      <c r="A1008" s="2" t="s">
        <v>2597</v>
      </c>
      <c r="B1008" s="2" t="s">
        <v>2598</v>
      </c>
      <c r="C1008" s="2" t="s">
        <v>36</v>
      </c>
      <c r="D1008" s="2" t="s">
        <v>37</v>
      </c>
      <c r="E1008" s="5">
        <v>-30011</v>
      </c>
      <c r="F1008" s="3" t="s">
        <v>313</v>
      </c>
      <c r="G1008" s="3" t="s">
        <v>887</v>
      </c>
      <c r="H1008" s="2" t="s">
        <v>21</v>
      </c>
      <c r="I1008" s="2" t="s">
        <v>2601</v>
      </c>
      <c r="J1008" s="3" t="str">
        <f>HYPERLINK("https://www.boe.es/gazeta/dias/1817/10/30/pdfs/GMD-1817-130.pdf#page=9","Abrir facsímil")</f>
        <v>Abrir facsímil</v>
      </c>
      <c r="K1008" s="3" t="s">
        <v>23</v>
      </c>
    </row>
    <row r="1009" spans="1:11" ht="42" customHeight="1">
      <c r="A1009" s="2" t="s">
        <v>2597</v>
      </c>
      <c r="B1009" s="2" t="s">
        <v>2598</v>
      </c>
      <c r="C1009" s="2" t="s">
        <v>36</v>
      </c>
      <c r="D1009" s="2" t="s">
        <v>37</v>
      </c>
      <c r="E1009" s="5">
        <v>-30006</v>
      </c>
      <c r="F1009" s="3" t="s">
        <v>210</v>
      </c>
      <c r="G1009" s="3" t="s">
        <v>20</v>
      </c>
      <c r="H1009" s="2" t="s">
        <v>21</v>
      </c>
      <c r="I1009" s="2" t="s">
        <v>2602</v>
      </c>
      <c r="J1009" s="3" t="str">
        <f>HYPERLINK("https://www.boe.es/gazeta/dias/1817/11/04/pdfs/GMD-1817-132.pdf#page=7","Abrir facsímil")</f>
        <v>Abrir facsímil</v>
      </c>
      <c r="K1009" s="3" t="s">
        <v>23</v>
      </c>
    </row>
    <row r="1010" spans="1:11" ht="42" customHeight="1">
      <c r="A1010" s="2" t="s">
        <v>2603</v>
      </c>
      <c r="B1010" s="2" t="s">
        <v>2604</v>
      </c>
      <c r="C1010" s="2" t="s">
        <v>36</v>
      </c>
      <c r="D1010" s="2" t="s">
        <v>37</v>
      </c>
      <c r="E1010" s="5">
        <v>-30249</v>
      </c>
      <c r="F1010" s="3" t="s">
        <v>120</v>
      </c>
      <c r="G1010" s="3" t="s">
        <v>77</v>
      </c>
      <c r="H1010" s="2" t="s">
        <v>21</v>
      </c>
      <c r="I1010" s="2" t="s">
        <v>2605</v>
      </c>
      <c r="J1010" s="3" t="str">
        <f>HYPERLINK("https://www.boe.es/gazeta/dias/1817/03/06/pdfs/GMD-1817-28.pdf#page=8","Abrir facsímil")</f>
        <v>Abrir facsímil</v>
      </c>
      <c r="K1010" s="3" t="s">
        <v>23</v>
      </c>
    </row>
    <row r="1011" spans="1:11" ht="42" customHeight="1">
      <c r="A1011" s="2" t="s">
        <v>2606</v>
      </c>
      <c r="B1011" s="2" t="s">
        <v>2606</v>
      </c>
      <c r="C1011" s="2" t="s">
        <v>36</v>
      </c>
      <c r="D1011" s="2" t="s">
        <v>37</v>
      </c>
      <c r="E1011" s="5">
        <v>-30102</v>
      </c>
      <c r="F1011" s="3" t="s">
        <v>502</v>
      </c>
      <c r="G1011" s="3" t="s">
        <v>629</v>
      </c>
      <c r="H1011" s="2" t="s">
        <v>21</v>
      </c>
      <c r="I1011" s="2" t="s">
        <v>2607</v>
      </c>
      <c r="J1011" s="3" t="str">
        <f>HYPERLINK("https://www.boe.es/gazeta/dias/1817/07/31/pdfs/GMD-1817-91.pdf#page=2","Abrir facsímil")</f>
        <v>Abrir facsímil</v>
      </c>
      <c r="K1011" s="3" t="s">
        <v>23</v>
      </c>
    </row>
    <row r="1012" spans="1:11" ht="42" customHeight="1">
      <c r="A1012" s="2" t="s">
        <v>2608</v>
      </c>
      <c r="B1012" s="2" t="s">
        <v>2608</v>
      </c>
      <c r="C1012" s="2" t="s">
        <v>510</v>
      </c>
      <c r="D1012" s="2" t="s">
        <v>44</v>
      </c>
      <c r="E1012" s="5">
        <v>-30177</v>
      </c>
      <c r="F1012" s="3" t="s">
        <v>633</v>
      </c>
      <c r="G1012" s="3" t="s">
        <v>551</v>
      </c>
      <c r="H1012" s="2" t="s">
        <v>21</v>
      </c>
      <c r="I1012" s="2" t="s">
        <v>2609</v>
      </c>
      <c r="J1012" s="3" t="str">
        <f>HYPERLINK("https://www.boe.es/gazeta/dias/1817/05/17/pdfs/GMD-1817-59.pdf#page=3","Abrir facsímil")</f>
        <v>Abrir facsímil</v>
      </c>
      <c r="K1012" s="3" t="s">
        <v>23</v>
      </c>
    </row>
    <row r="1013" spans="1:11" ht="42" customHeight="1">
      <c r="A1013" s="2" t="s">
        <v>2610</v>
      </c>
      <c r="B1013" s="2" t="s">
        <v>2611</v>
      </c>
      <c r="C1013" s="2" t="s">
        <v>43</v>
      </c>
      <c r="D1013" s="2" t="s">
        <v>44</v>
      </c>
      <c r="E1013" s="5">
        <v>-30013</v>
      </c>
      <c r="F1013" s="3" t="s">
        <v>464</v>
      </c>
      <c r="G1013" s="3" t="s">
        <v>39</v>
      </c>
      <c r="H1013" s="2" t="s">
        <v>21</v>
      </c>
      <c r="I1013" s="2" t="s">
        <v>2612</v>
      </c>
      <c r="J1013" s="3" t="str">
        <f>HYPERLINK("https://www.boe.es/gazeta/dias/1817/10/28/pdfs/GMD-1817-129.pdf#page=5","Abrir facsímil")</f>
        <v>Abrir facsímil</v>
      </c>
      <c r="K1013" s="3" t="s">
        <v>23</v>
      </c>
    </row>
    <row r="1014" spans="1:11" ht="42" customHeight="1">
      <c r="A1014" s="2" t="s">
        <v>2613</v>
      </c>
      <c r="B1014" s="2" t="s">
        <v>2614</v>
      </c>
      <c r="C1014" s="2" t="s">
        <v>36</v>
      </c>
      <c r="D1014" s="2" t="s">
        <v>37</v>
      </c>
      <c r="E1014" s="5">
        <v>-30272</v>
      </c>
      <c r="F1014" s="3" t="s">
        <v>493</v>
      </c>
      <c r="G1014" s="3" t="s">
        <v>57</v>
      </c>
      <c r="H1014" s="2" t="s">
        <v>21</v>
      </c>
      <c r="I1014" s="2" t="s">
        <v>2615</v>
      </c>
      <c r="J1014" s="3" t="str">
        <f>HYPERLINK("https://www.boe.es/gazeta/dias/1817/02/11/pdfs/GMD-1817-18.pdf#page=6","Abrir facsímil")</f>
        <v>Abrir facsímil</v>
      </c>
      <c r="K1014" s="3" t="s">
        <v>23</v>
      </c>
    </row>
    <row r="1015" spans="1:11" ht="42" customHeight="1">
      <c r="A1015" s="2" t="s">
        <v>2616</v>
      </c>
      <c r="B1015" s="2" t="s">
        <v>2617</v>
      </c>
      <c r="C1015" s="2" t="s">
        <v>43</v>
      </c>
      <c r="D1015" s="2" t="s">
        <v>44</v>
      </c>
      <c r="E1015" s="5">
        <v>-30013</v>
      </c>
      <c r="F1015" s="3" t="s">
        <v>464</v>
      </c>
      <c r="G1015" s="3" t="s">
        <v>39</v>
      </c>
      <c r="H1015" s="2" t="s">
        <v>21</v>
      </c>
      <c r="I1015" s="2" t="s">
        <v>2618</v>
      </c>
      <c r="J1015" s="3" t="str">
        <f>HYPERLINK("https://www.boe.es/gazeta/dias/1817/10/28/pdfs/GMD-1817-129.pdf#page=5","Abrir facsímil")</f>
        <v>Abrir facsímil</v>
      </c>
      <c r="K1015" s="3" t="s">
        <v>23</v>
      </c>
    </row>
    <row r="1016" spans="1:11" ht="42" customHeight="1">
      <c r="A1016" s="2" t="s">
        <v>2619</v>
      </c>
      <c r="B1016" s="2" t="s">
        <v>2620</v>
      </c>
      <c r="C1016" s="2" t="s">
        <v>49</v>
      </c>
      <c r="D1016" s="2" t="s">
        <v>44</v>
      </c>
      <c r="E1016" s="5">
        <v>-30184</v>
      </c>
      <c r="F1016" s="3" t="s">
        <v>423</v>
      </c>
      <c r="G1016" s="3" t="s">
        <v>1437</v>
      </c>
      <c r="H1016" s="2" t="s">
        <v>21</v>
      </c>
      <c r="I1016" s="2" t="s">
        <v>2621</v>
      </c>
      <c r="J1016" s="3" t="str">
        <f>HYPERLINK("https://www.boe.es/gazeta/dias/1817/05/10/pdfs/GMD-1817-56.pdf#page=6","Abrir facsímil")</f>
        <v>Abrir facsímil</v>
      </c>
      <c r="K1016" s="3" t="s">
        <v>23</v>
      </c>
    </row>
    <row r="1017" spans="1:11" ht="42" customHeight="1">
      <c r="A1017" s="2" t="s">
        <v>2622</v>
      </c>
      <c r="B1017" s="2" t="s">
        <v>2623</v>
      </c>
      <c r="C1017" s="2" t="s">
        <v>36</v>
      </c>
      <c r="D1017" s="2" t="s">
        <v>37</v>
      </c>
      <c r="E1017" s="5">
        <v>-30249</v>
      </c>
      <c r="F1017" s="3" t="s">
        <v>120</v>
      </c>
      <c r="G1017" s="3" t="s">
        <v>20</v>
      </c>
      <c r="H1017" s="2" t="s">
        <v>21</v>
      </c>
      <c r="I1017" s="2" t="s">
        <v>2624</v>
      </c>
      <c r="J1017" s="3" t="str">
        <f>HYPERLINK("https://www.boe.es/gazeta/dias/1817/03/06/pdfs/GMD-1817-28.pdf#page=7","Abrir facsímil")</f>
        <v>Abrir facsímil</v>
      </c>
      <c r="K1017" s="3" t="s">
        <v>23</v>
      </c>
    </row>
    <row r="1018" spans="1:11" ht="42" customHeight="1">
      <c r="A1018" s="2" t="s">
        <v>2625</v>
      </c>
      <c r="B1018" s="2" t="s">
        <v>2625</v>
      </c>
      <c r="C1018" s="2" t="s">
        <v>36</v>
      </c>
      <c r="D1018" s="2" t="s">
        <v>37</v>
      </c>
      <c r="E1018" s="5">
        <v>-30268</v>
      </c>
      <c r="F1018" s="3" t="s">
        <v>1160</v>
      </c>
      <c r="G1018" s="3" t="s">
        <v>77</v>
      </c>
      <c r="H1018" s="2" t="s">
        <v>21</v>
      </c>
      <c r="I1018" s="2" t="s">
        <v>2626</v>
      </c>
      <c r="J1018" s="3" t="str">
        <f>HYPERLINK("https://www.boe.es/gazeta/dias/1817/02/15/pdfs/GMD-1817-20.pdf#page=8","Abrir facsímil")</f>
        <v>Abrir facsímil</v>
      </c>
      <c r="K1018" s="3" t="s">
        <v>23</v>
      </c>
    </row>
    <row r="1019" spans="1:11" ht="42" customHeight="1">
      <c r="A1019" s="2" t="s">
        <v>2627</v>
      </c>
      <c r="B1019" s="2" t="s">
        <v>2628</v>
      </c>
      <c r="C1019" s="2" t="s">
        <v>36</v>
      </c>
      <c r="D1019" s="2" t="s">
        <v>37</v>
      </c>
      <c r="E1019" s="5">
        <v>-30048</v>
      </c>
      <c r="F1019" s="3" t="s">
        <v>573</v>
      </c>
      <c r="G1019" s="3" t="s">
        <v>20</v>
      </c>
      <c r="H1019" s="2" t="s">
        <v>21</v>
      </c>
      <c r="I1019" s="2" t="s">
        <v>2629</v>
      </c>
      <c r="J1019" s="3" t="str">
        <f>HYPERLINK("https://www.boe.es/gazeta/dias/1817/09/23/pdfs/GMD-1817-114.pdf#page=7","Abrir facsímil")</f>
        <v>Abrir facsímil</v>
      </c>
      <c r="K1019" s="3" t="s">
        <v>23</v>
      </c>
    </row>
    <row r="1020" spans="1:11" ht="42" customHeight="1">
      <c r="A1020" s="2" t="s">
        <v>2630</v>
      </c>
      <c r="B1020" s="2" t="s">
        <v>2631</v>
      </c>
      <c r="C1020" s="2" t="s">
        <v>17</v>
      </c>
      <c r="D1020" s="2" t="s">
        <v>18</v>
      </c>
      <c r="E1020" s="5">
        <v>-30172</v>
      </c>
      <c r="F1020" s="3" t="s">
        <v>991</v>
      </c>
      <c r="G1020" s="3" t="s">
        <v>77</v>
      </c>
      <c r="H1020" s="2" t="s">
        <v>21</v>
      </c>
      <c r="I1020" s="2" t="s">
        <v>2632</v>
      </c>
      <c r="J1020" s="3" t="str">
        <f>HYPERLINK("https://www.boe.es/gazeta/dias/1817/05/22/pdfs/GMD-1817-61.pdf#page=8","Abrir facsímil")</f>
        <v>Abrir facsímil</v>
      </c>
      <c r="K1020" s="3" t="s">
        <v>23</v>
      </c>
    </row>
    <row r="1021" spans="1:11" ht="42" customHeight="1">
      <c r="A1021" s="2" t="s">
        <v>2633</v>
      </c>
      <c r="B1021" s="2" t="s">
        <v>2634</v>
      </c>
      <c r="C1021" s="2" t="s">
        <v>49</v>
      </c>
      <c r="D1021" s="2" t="s">
        <v>44</v>
      </c>
      <c r="E1021" s="5">
        <v>-30258</v>
      </c>
      <c r="F1021" s="3" t="s">
        <v>234</v>
      </c>
      <c r="G1021" s="3" t="s">
        <v>77</v>
      </c>
      <c r="H1021" s="2" t="s">
        <v>21</v>
      </c>
      <c r="I1021" s="2" t="s">
        <v>2635</v>
      </c>
      <c r="J1021" s="3" t="str">
        <f>HYPERLINK("https://www.boe.es/gazeta/dias/1817/02/25/pdfs/GMD-1817-24.pdf#page=8","Abrir facsímil")</f>
        <v>Abrir facsímil</v>
      </c>
      <c r="K1021" s="3" t="s">
        <v>23</v>
      </c>
    </row>
    <row r="1022" spans="1:11" ht="42" customHeight="1">
      <c r="A1022" s="2" t="s">
        <v>2633</v>
      </c>
      <c r="B1022" s="2" t="s">
        <v>2634</v>
      </c>
      <c r="C1022" s="2" t="s">
        <v>97</v>
      </c>
      <c r="D1022" s="2" t="s">
        <v>44</v>
      </c>
      <c r="E1022" s="5">
        <v>-29990</v>
      </c>
      <c r="F1022" s="3" t="s">
        <v>542</v>
      </c>
      <c r="G1022" s="3" t="s">
        <v>77</v>
      </c>
      <c r="H1022" s="2" t="s">
        <v>21</v>
      </c>
      <c r="I1022" s="2" t="s">
        <v>2636</v>
      </c>
      <c r="J1022" s="3" t="str">
        <f>HYPERLINK("https://www.boe.es/gazeta/dias/1817/11/20/pdfs/GMD-1817-139.pdf#page=8","Abrir facsímil")</f>
        <v>Abrir facsímil</v>
      </c>
      <c r="K1022" s="3" t="s">
        <v>23</v>
      </c>
    </row>
    <row r="1023" spans="1:11" ht="42" customHeight="1">
      <c r="A1023" s="2" t="s">
        <v>2637</v>
      </c>
      <c r="B1023" s="2" t="s">
        <v>2638</v>
      </c>
      <c r="C1023" s="2" t="s">
        <v>36</v>
      </c>
      <c r="D1023" s="2" t="s">
        <v>37</v>
      </c>
      <c r="E1023" s="5">
        <v>-30109</v>
      </c>
      <c r="F1023" s="3" t="s">
        <v>205</v>
      </c>
      <c r="G1023" s="3" t="s">
        <v>112</v>
      </c>
      <c r="H1023" s="2" t="s">
        <v>21</v>
      </c>
      <c r="I1023" s="2" t="s">
        <v>2639</v>
      </c>
      <c r="J1023" s="3" t="str">
        <f>HYPERLINK("https://www.boe.es/gazeta/dias/1817/07/24/pdfs/GMD-1817-88.pdf#page=11","Abrir facsímil")</f>
        <v>Abrir facsímil</v>
      </c>
      <c r="K1023" s="3" t="s">
        <v>23</v>
      </c>
    </row>
    <row r="1024" spans="1:11" ht="42" customHeight="1">
      <c r="A1024" s="2" t="s">
        <v>2640</v>
      </c>
      <c r="B1024" s="2" t="s">
        <v>2640</v>
      </c>
      <c r="C1024" s="2" t="s">
        <v>55</v>
      </c>
      <c r="D1024" s="2" t="s">
        <v>44</v>
      </c>
      <c r="E1024" s="5">
        <v>-30142</v>
      </c>
      <c r="F1024" s="3" t="s">
        <v>286</v>
      </c>
      <c r="G1024" s="3" t="s">
        <v>497</v>
      </c>
      <c r="H1024" s="2" t="s">
        <v>21</v>
      </c>
      <c r="I1024" s="2" t="s">
        <v>2641</v>
      </c>
      <c r="J1024" s="3" t="str">
        <f>HYPERLINK("https://www.boe.es/gazeta/dias/1817/06/21/pdfs/GMD-1817-74.pdf#page=8","Abrir facsímil")</f>
        <v>Abrir facsímil</v>
      </c>
      <c r="K1024" s="3" t="s">
        <v>23</v>
      </c>
    </row>
    <row r="1025" spans="1:11" ht="42" customHeight="1">
      <c r="A1025" s="2" t="s">
        <v>2642</v>
      </c>
      <c r="B1025" s="2" t="s">
        <v>2643</v>
      </c>
      <c r="C1025" s="2" t="s">
        <v>36</v>
      </c>
      <c r="D1025" s="2" t="s">
        <v>37</v>
      </c>
      <c r="E1025" s="5">
        <v>-30109</v>
      </c>
      <c r="F1025" s="3" t="s">
        <v>205</v>
      </c>
      <c r="G1025" s="3" t="s">
        <v>1464</v>
      </c>
      <c r="H1025" s="2" t="s">
        <v>21</v>
      </c>
      <c r="I1025" s="2" t="s">
        <v>2644</v>
      </c>
      <c r="J1025" s="3" t="str">
        <f>HYPERLINK("https://www.boe.es/gazeta/dias/1817/07/24/pdfs/GMD-1817-88.pdf#page=13","Abrir facsímil")</f>
        <v>Abrir facsímil</v>
      </c>
      <c r="K1025" s="3" t="s">
        <v>23</v>
      </c>
    </row>
    <row r="1026" spans="1:11" ht="42" customHeight="1">
      <c r="A1026" s="2" t="s">
        <v>2645</v>
      </c>
      <c r="B1026" s="2" t="s">
        <v>2645</v>
      </c>
      <c r="C1026" s="2" t="s">
        <v>17</v>
      </c>
      <c r="D1026" s="2" t="s">
        <v>18</v>
      </c>
      <c r="E1026" s="5">
        <v>-30202</v>
      </c>
      <c r="F1026" s="3" t="s">
        <v>418</v>
      </c>
      <c r="G1026" s="3" t="s">
        <v>2275</v>
      </c>
      <c r="H1026" s="2" t="s">
        <v>21</v>
      </c>
      <c r="I1026" s="2" t="s">
        <v>2646</v>
      </c>
      <c r="J1026" s="3" t="str">
        <f>HYPERLINK("https://www.boe.es/gazeta/dias/1817/04/22/pdfs/GMD-1817-48.pdf#page=6","Abrir facsímil")</f>
        <v>Abrir facsímil</v>
      </c>
      <c r="K1026" s="3" t="s">
        <v>23</v>
      </c>
    </row>
    <row r="1027" spans="1:11" ht="42" customHeight="1">
      <c r="A1027" s="2" t="s">
        <v>2645</v>
      </c>
      <c r="B1027" s="2" t="s">
        <v>2645</v>
      </c>
      <c r="C1027" s="2" t="s">
        <v>43</v>
      </c>
      <c r="D1027" s="2" t="s">
        <v>44</v>
      </c>
      <c r="E1027" s="5">
        <v>-30062</v>
      </c>
      <c r="F1027" s="3" t="s">
        <v>444</v>
      </c>
      <c r="G1027" s="3" t="s">
        <v>887</v>
      </c>
      <c r="H1027" s="2" t="s">
        <v>21</v>
      </c>
      <c r="I1027" s="2" t="s">
        <v>2647</v>
      </c>
      <c r="J1027" s="3" t="str">
        <f>HYPERLINK("https://www.boe.es/gazeta/dias/1817/09/09/pdfs/GMD-1817-108.pdf#page=9","Abrir facsímil")</f>
        <v>Abrir facsímil</v>
      </c>
      <c r="K1027" s="3" t="s">
        <v>23</v>
      </c>
    </row>
    <row r="1028" spans="1:11" ht="42" customHeight="1">
      <c r="A1028" s="2" t="s">
        <v>2648</v>
      </c>
      <c r="B1028" s="2" t="s">
        <v>2649</v>
      </c>
      <c r="C1028" s="2" t="s">
        <v>43</v>
      </c>
      <c r="D1028" s="2" t="s">
        <v>44</v>
      </c>
      <c r="E1028" s="5">
        <v>-29955</v>
      </c>
      <c r="F1028" s="3" t="s">
        <v>805</v>
      </c>
      <c r="G1028" s="3" t="s">
        <v>2650</v>
      </c>
      <c r="H1028" s="2" t="s">
        <v>21</v>
      </c>
      <c r="I1028" s="2" t="s">
        <v>2651</v>
      </c>
      <c r="J1028" s="3" t="str">
        <f>HYPERLINK("https://www.boe.es/gazeta/dias/1817/12/25/pdfs/GMD-1817-154.pdf#page=8","Abrir facsímil")</f>
        <v>Abrir facsímil</v>
      </c>
      <c r="K1028" s="3" t="s">
        <v>23</v>
      </c>
    </row>
    <row r="1029" spans="1:11" ht="42" customHeight="1">
      <c r="A1029" s="2" t="s">
        <v>2652</v>
      </c>
      <c r="B1029" s="2" t="s">
        <v>2653</v>
      </c>
      <c r="C1029" s="2" t="s">
        <v>510</v>
      </c>
      <c r="D1029" s="2" t="s">
        <v>44</v>
      </c>
      <c r="E1029" s="5">
        <v>-29988</v>
      </c>
      <c r="F1029" s="3" t="s">
        <v>569</v>
      </c>
      <c r="G1029" s="3" t="s">
        <v>2654</v>
      </c>
      <c r="H1029" s="2" t="s">
        <v>21</v>
      </c>
      <c r="I1029" s="2" t="s">
        <v>2655</v>
      </c>
      <c r="J1029" s="3" t="str">
        <f>HYPERLINK("https://www.boe.es/gazeta/dias/1817/11/22/pdfs/GMD-1817-140.pdf#page=12","Abrir facsímil")</f>
        <v>Abrir facsímil</v>
      </c>
      <c r="K1029" s="3" t="s">
        <v>23</v>
      </c>
    </row>
    <row r="1030" spans="1:11" ht="42" customHeight="1">
      <c r="A1030" s="2" t="s">
        <v>2656</v>
      </c>
      <c r="B1030" s="2" t="s">
        <v>2656</v>
      </c>
      <c r="C1030" s="2" t="s">
        <v>55</v>
      </c>
      <c r="D1030" s="2" t="s">
        <v>44</v>
      </c>
      <c r="E1030" s="5">
        <v>-30044</v>
      </c>
      <c r="F1030" s="3" t="s">
        <v>450</v>
      </c>
      <c r="G1030" s="3" t="s">
        <v>451</v>
      </c>
      <c r="H1030" s="2" t="s">
        <v>21</v>
      </c>
      <c r="I1030" s="2" t="s">
        <v>2657</v>
      </c>
      <c r="J1030" s="3" t="str">
        <f>HYPERLINK("https://www.boe.es/gazeta/dias/1817/09/27/pdfs/GMD-1817-116.pdf#page=8","Abrir facsímil")</f>
        <v>Abrir facsímil</v>
      </c>
      <c r="K1030" s="3" t="s">
        <v>23</v>
      </c>
    </row>
    <row r="1031" spans="1:11" ht="42" customHeight="1">
      <c r="A1031" s="2" t="s">
        <v>2658</v>
      </c>
      <c r="B1031" s="2" t="s">
        <v>2658</v>
      </c>
      <c r="C1031" s="2" t="s">
        <v>36</v>
      </c>
      <c r="D1031" s="2" t="s">
        <v>37</v>
      </c>
      <c r="E1031" s="5">
        <v>-29983</v>
      </c>
      <c r="F1031" s="3" t="s">
        <v>148</v>
      </c>
      <c r="G1031" s="3" t="s">
        <v>149</v>
      </c>
      <c r="H1031" s="2" t="s">
        <v>21</v>
      </c>
      <c r="I1031" s="2" t="s">
        <v>2659</v>
      </c>
      <c r="J1031" s="3" t="str">
        <f>HYPERLINK("https://www.boe.es/gazeta/dias/1817/11/27/pdfs/GMD-1817-142.pdf#page=8","Abrir facsímil")</f>
        <v>Abrir facsímil</v>
      </c>
      <c r="K1031" s="3" t="s">
        <v>23</v>
      </c>
    </row>
    <row r="1032" spans="1:11" ht="42" customHeight="1">
      <c r="A1032" s="2" t="s">
        <v>2660</v>
      </c>
      <c r="B1032" s="2" t="s">
        <v>2661</v>
      </c>
      <c r="C1032" s="2" t="s">
        <v>49</v>
      </c>
      <c r="D1032" s="2" t="s">
        <v>44</v>
      </c>
      <c r="E1032" s="5">
        <v>-29990</v>
      </c>
      <c r="F1032" s="3" t="s">
        <v>542</v>
      </c>
      <c r="G1032" s="3" t="s">
        <v>77</v>
      </c>
      <c r="H1032" s="2" t="s">
        <v>21</v>
      </c>
      <c r="I1032" s="2" t="s">
        <v>2662</v>
      </c>
      <c r="J1032" s="3" t="str">
        <f>HYPERLINK("https://www.boe.es/gazeta/dias/1817/11/20/pdfs/GMD-1817-139.pdf#page=8","Abrir facsímil")</f>
        <v>Abrir facsímil</v>
      </c>
      <c r="K1032" s="3" t="s">
        <v>23</v>
      </c>
    </row>
    <row r="1033" spans="1:11" ht="42" customHeight="1">
      <c r="A1033" s="2" t="s">
        <v>2663</v>
      </c>
      <c r="B1033" s="2" t="s">
        <v>2664</v>
      </c>
      <c r="C1033" s="2" t="s">
        <v>36</v>
      </c>
      <c r="D1033" s="2" t="s">
        <v>37</v>
      </c>
      <c r="E1033" s="5">
        <v>-30118</v>
      </c>
      <c r="F1033" s="3" t="s">
        <v>432</v>
      </c>
      <c r="G1033" s="3" t="s">
        <v>433</v>
      </c>
      <c r="H1033" s="2" t="s">
        <v>21</v>
      </c>
      <c r="I1033" s="2" t="s">
        <v>2665</v>
      </c>
      <c r="J1033" s="3" t="str">
        <f>HYPERLINK("https://www.boe.es/gazeta/dias/1817/07/15/pdfs/GMD-1817-84.pdf#page=8","Abrir facsímil")</f>
        <v>Abrir facsímil</v>
      </c>
      <c r="K1033" s="3" t="s">
        <v>23</v>
      </c>
    </row>
    <row r="1034" spans="1:11" ht="42" customHeight="1">
      <c r="A1034" s="2" t="s">
        <v>2663</v>
      </c>
      <c r="B1034" s="2" t="s">
        <v>2664</v>
      </c>
      <c r="C1034" s="2" t="s">
        <v>55</v>
      </c>
      <c r="D1034" s="2" t="s">
        <v>44</v>
      </c>
      <c r="E1034" s="5">
        <v>-29999</v>
      </c>
      <c r="F1034" s="3" t="s">
        <v>471</v>
      </c>
      <c r="G1034" s="3" t="s">
        <v>472</v>
      </c>
      <c r="H1034" s="2" t="s">
        <v>21</v>
      </c>
      <c r="I1034" s="2" t="s">
        <v>2666</v>
      </c>
      <c r="J1034" s="3" t="str">
        <f>HYPERLINK("https://www.boe.es/gazeta/dias/1817/11/11/pdfs/GMD-1817-135.pdf#page=16","Abrir facsímil")</f>
        <v>Abrir facsímil</v>
      </c>
      <c r="K1034" s="3" t="s">
        <v>23</v>
      </c>
    </row>
    <row r="1035" spans="1:11" ht="42" customHeight="1">
      <c r="A1035" s="2" t="s">
        <v>2667</v>
      </c>
      <c r="B1035" s="2" t="s">
        <v>2668</v>
      </c>
      <c r="C1035" s="2" t="s">
        <v>17</v>
      </c>
      <c r="D1035" s="2" t="s">
        <v>18</v>
      </c>
      <c r="E1035" s="5">
        <v>-30261</v>
      </c>
      <c r="F1035" s="3" t="s">
        <v>226</v>
      </c>
      <c r="G1035" s="3" t="s">
        <v>39</v>
      </c>
      <c r="H1035" s="2" t="s">
        <v>21</v>
      </c>
      <c r="I1035" s="2" t="s">
        <v>2669</v>
      </c>
      <c r="J1035" s="3" t="str">
        <f>HYPERLINK("https://www.boe.es/gazeta/dias/1817/02/22/pdfs/GMD-1817-23.pdf#page=5","Abrir facsímil")</f>
        <v>Abrir facsímil</v>
      </c>
      <c r="K1035" s="3" t="s">
        <v>23</v>
      </c>
    </row>
    <row r="1036" spans="1:11" ht="42" customHeight="1">
      <c r="A1036" s="2" t="s">
        <v>2670</v>
      </c>
      <c r="B1036" s="2" t="s">
        <v>2670</v>
      </c>
      <c r="C1036" s="2" t="s">
        <v>36</v>
      </c>
      <c r="D1036" s="2" t="s">
        <v>37</v>
      </c>
      <c r="E1036" s="5">
        <v>-30013</v>
      </c>
      <c r="F1036" s="3" t="s">
        <v>464</v>
      </c>
      <c r="G1036" s="3" t="s">
        <v>2671</v>
      </c>
      <c r="H1036" s="2" t="s">
        <v>21</v>
      </c>
      <c r="I1036" s="2" t="s">
        <v>2672</v>
      </c>
      <c r="J1036" s="3" t="str">
        <f>HYPERLINK("https://www.boe.es/gazeta/dias/1817/10/28/pdfs/GMD-1817-129.pdf#page=2","Abrir facsímil")</f>
        <v>Abrir facsímil</v>
      </c>
      <c r="K1036" s="3" t="s">
        <v>23</v>
      </c>
    </row>
    <row r="1037" spans="1:11" ht="42" customHeight="1">
      <c r="A1037" s="2" t="s">
        <v>2673</v>
      </c>
      <c r="B1037" s="2" t="s">
        <v>2673</v>
      </c>
      <c r="C1037" s="2" t="s">
        <v>36</v>
      </c>
      <c r="D1037" s="2" t="s">
        <v>37</v>
      </c>
      <c r="E1037" s="5">
        <v>-30209</v>
      </c>
      <c r="F1037" s="3" t="s">
        <v>1478</v>
      </c>
      <c r="G1037" s="3" t="s">
        <v>2452</v>
      </c>
      <c r="H1037" s="2" t="s">
        <v>21</v>
      </c>
      <c r="I1037" s="2" t="s">
        <v>2674</v>
      </c>
      <c r="J1037" s="3" t="str">
        <f>HYPERLINK("https://www.boe.es/gazeta/dias/1817/04/15/pdfs/GMD-1817-45.pdf#page=4","Abrir facsímil")</f>
        <v>Abrir facsímil</v>
      </c>
      <c r="K1037" s="3" t="s">
        <v>23</v>
      </c>
    </row>
    <row r="1038" spans="1:11" ht="42" customHeight="1">
      <c r="A1038" s="2" t="s">
        <v>2675</v>
      </c>
      <c r="B1038" s="2" t="s">
        <v>2675</v>
      </c>
      <c r="C1038" s="2" t="s">
        <v>49</v>
      </c>
      <c r="D1038" s="2" t="s">
        <v>44</v>
      </c>
      <c r="E1038" s="5">
        <v>-30023</v>
      </c>
      <c r="F1038" s="3" t="s">
        <v>460</v>
      </c>
      <c r="G1038" s="3" t="s">
        <v>461</v>
      </c>
      <c r="H1038" s="2" t="s">
        <v>21</v>
      </c>
      <c r="I1038" s="2" t="s">
        <v>2676</v>
      </c>
      <c r="J1038" s="3" t="str">
        <f>HYPERLINK("https://www.boe.es/gazeta/dias/1817/10/18/pdfs/GMD-1817-125.pdf#page=8","Abrir facsímil")</f>
        <v>Abrir facsímil</v>
      </c>
      <c r="K1038" s="3" t="s">
        <v>23</v>
      </c>
    </row>
    <row r="1039" spans="1:11" ht="42" customHeight="1">
      <c r="A1039" s="2" t="s">
        <v>2675</v>
      </c>
      <c r="B1039" s="2" t="s">
        <v>2675</v>
      </c>
      <c r="C1039" s="2" t="s">
        <v>36</v>
      </c>
      <c r="D1039" s="2" t="s">
        <v>37</v>
      </c>
      <c r="E1039" s="5">
        <v>-30002</v>
      </c>
      <c r="F1039" s="3" t="s">
        <v>469</v>
      </c>
      <c r="G1039" s="3" t="s">
        <v>77</v>
      </c>
      <c r="H1039" s="2" t="s">
        <v>21</v>
      </c>
      <c r="I1039" s="2" t="s">
        <v>2677</v>
      </c>
      <c r="J1039" s="3" t="str">
        <f>HYPERLINK("https://www.boe.es/gazeta/dias/1817/11/08/pdfs/GMD-1817-134.pdf#page=8","Abrir facsímil")</f>
        <v>Abrir facsímil</v>
      </c>
      <c r="K1039" s="3" t="s">
        <v>23</v>
      </c>
    </row>
    <row r="1040" spans="1:11" ht="42" customHeight="1">
      <c r="A1040" s="2" t="s">
        <v>2678</v>
      </c>
      <c r="B1040" s="2" t="s">
        <v>2679</v>
      </c>
      <c r="C1040" s="2" t="s">
        <v>43</v>
      </c>
      <c r="D1040" s="2" t="s">
        <v>44</v>
      </c>
      <c r="E1040" s="5">
        <v>-30079</v>
      </c>
      <c r="F1040" s="3" t="s">
        <v>45</v>
      </c>
      <c r="G1040" s="3" t="s">
        <v>39</v>
      </c>
      <c r="H1040" s="2" t="s">
        <v>21</v>
      </c>
      <c r="I1040" s="2" t="s">
        <v>2680</v>
      </c>
      <c r="J1040" s="3" t="str">
        <f>HYPERLINK("https://www.boe.es/gazeta/dias/1817/08/23/pdfs/GMD-1817-101.pdf#page=5","Abrir facsímil")</f>
        <v>Abrir facsímil</v>
      </c>
      <c r="K1040" s="3" t="s">
        <v>23</v>
      </c>
    </row>
    <row r="1041" spans="1:11" ht="42" customHeight="1">
      <c r="A1041" s="2" t="s">
        <v>2681</v>
      </c>
      <c r="B1041" s="2" t="s">
        <v>2682</v>
      </c>
      <c r="C1041" s="2" t="s">
        <v>55</v>
      </c>
      <c r="D1041" s="2" t="s">
        <v>44</v>
      </c>
      <c r="E1041" s="5">
        <v>-29990</v>
      </c>
      <c r="F1041" s="3" t="s">
        <v>542</v>
      </c>
      <c r="G1041" s="3" t="s">
        <v>77</v>
      </c>
      <c r="H1041" s="2" t="s">
        <v>27</v>
      </c>
      <c r="I1041" s="2" t="s">
        <v>2683</v>
      </c>
      <c r="J1041" s="3" t="str">
        <f>HYPERLINK("https://www.boe.es/gazeta/dias/1817/11/20/pdfs/GMD-1817-139.pdf#page=8","Abrir facsímil")</f>
        <v>Abrir facsímil</v>
      </c>
      <c r="K1041" s="3" t="s">
        <v>29</v>
      </c>
    </row>
    <row r="1042" spans="1:11" ht="42" customHeight="1">
      <c r="A1042" s="2" t="s">
        <v>2684</v>
      </c>
      <c r="B1042" s="2" t="s">
        <v>2685</v>
      </c>
      <c r="C1042" s="2" t="s">
        <v>55</v>
      </c>
      <c r="D1042" s="2" t="s">
        <v>44</v>
      </c>
      <c r="E1042" s="5">
        <v>-30114</v>
      </c>
      <c r="F1042" s="3" t="s">
        <v>500</v>
      </c>
      <c r="G1042" s="3" t="s">
        <v>915</v>
      </c>
      <c r="H1042" s="2" t="s">
        <v>21</v>
      </c>
      <c r="I1042" s="2" t="s">
        <v>2686</v>
      </c>
      <c r="J1042" s="3" t="str">
        <f>HYPERLINK("https://www.boe.es/gazeta/dias/1817/07/19/pdfs/GMD-1817-86.pdf#page=6","Abrir facsímil")</f>
        <v>Abrir facsímil</v>
      </c>
      <c r="K1042" s="3" t="s">
        <v>23</v>
      </c>
    </row>
    <row r="1043" spans="1:11" ht="42" customHeight="1">
      <c r="A1043" s="2" t="s">
        <v>2684</v>
      </c>
      <c r="B1043" s="2" t="s">
        <v>2685</v>
      </c>
      <c r="C1043" s="2" t="s">
        <v>55</v>
      </c>
      <c r="D1043" s="2" t="s">
        <v>44</v>
      </c>
      <c r="E1043" s="5">
        <v>-30114</v>
      </c>
      <c r="F1043" s="3" t="s">
        <v>500</v>
      </c>
      <c r="G1043" s="3" t="s">
        <v>20</v>
      </c>
      <c r="H1043" s="2" t="s">
        <v>21</v>
      </c>
      <c r="I1043" s="2" t="s">
        <v>2687</v>
      </c>
      <c r="J1043" s="3" t="str">
        <f>HYPERLINK("https://www.boe.es/gazeta/dias/1817/07/19/pdfs/GMD-1817-86.pdf#page=7","Abrir facsímil")</f>
        <v>Abrir facsímil</v>
      </c>
      <c r="K1043" s="3" t="s">
        <v>23</v>
      </c>
    </row>
    <row r="1044" spans="1:11" ht="42" customHeight="1">
      <c r="A1044" s="2" t="s">
        <v>2688</v>
      </c>
      <c r="B1044" s="2" t="s">
        <v>2689</v>
      </c>
      <c r="C1044" s="2" t="s">
        <v>49</v>
      </c>
      <c r="D1044" s="2" t="s">
        <v>44</v>
      </c>
      <c r="E1044" s="5">
        <v>-30058</v>
      </c>
      <c r="F1044" s="3" t="s">
        <v>1385</v>
      </c>
      <c r="G1044" s="3" t="s">
        <v>82</v>
      </c>
      <c r="H1044" s="2" t="s">
        <v>21</v>
      </c>
      <c r="I1044" s="2" t="s">
        <v>2690</v>
      </c>
      <c r="J1044" s="3" t="str">
        <f>HYPERLINK("https://www.boe.es/gazeta/dias/1817/09/13/pdfs/GMD-1817-110.pdf#page=12","Abrir facsímil")</f>
        <v>Abrir facsímil</v>
      </c>
      <c r="K1044" s="3" t="s">
        <v>23</v>
      </c>
    </row>
    <row r="1045" spans="1:11" ht="42" customHeight="1">
      <c r="A1045" s="2" t="s">
        <v>2691</v>
      </c>
      <c r="B1045" s="2" t="s">
        <v>2692</v>
      </c>
      <c r="C1045" s="2" t="s">
        <v>49</v>
      </c>
      <c r="D1045" s="2" t="s">
        <v>44</v>
      </c>
      <c r="E1045" s="5">
        <v>-30289</v>
      </c>
      <c r="F1045" s="3" t="s">
        <v>193</v>
      </c>
      <c r="G1045" s="3" t="s">
        <v>57</v>
      </c>
      <c r="H1045" s="2" t="s">
        <v>27</v>
      </c>
      <c r="I1045" s="2" t="s">
        <v>2693</v>
      </c>
      <c r="J1045" s="3" t="str">
        <f>HYPERLINK("https://www.boe.es/gazeta/dias/1817/01/25/pdfs/GMD-1817-11.pdf#page=6","Abrir facsímil")</f>
        <v>Abrir facsímil</v>
      </c>
      <c r="K1045" s="3" t="s">
        <v>29</v>
      </c>
    </row>
    <row r="1046" spans="1:11" ht="42" customHeight="1">
      <c r="A1046" s="2" t="s">
        <v>2694</v>
      </c>
      <c r="B1046" s="2" t="s">
        <v>2694</v>
      </c>
      <c r="C1046" s="2" t="s">
        <v>36</v>
      </c>
      <c r="D1046" s="2" t="s">
        <v>37</v>
      </c>
      <c r="E1046" s="5">
        <v>-30286</v>
      </c>
      <c r="F1046" s="3" t="s">
        <v>354</v>
      </c>
      <c r="G1046" s="3" t="s">
        <v>2695</v>
      </c>
      <c r="H1046" s="2" t="s">
        <v>21</v>
      </c>
      <c r="I1046" s="2" t="s">
        <v>2696</v>
      </c>
      <c r="J1046" s="3" t="str">
        <f>HYPERLINK("https://www.boe.es/gazeta/dias/1817/01/28/pdfs/GMD-1817-12.pdf#page=4","Abrir facsímil")</f>
        <v>Abrir facsímil</v>
      </c>
      <c r="K1046" s="3" t="s">
        <v>23</v>
      </c>
    </row>
    <row r="1047" spans="1:11" ht="42" customHeight="1">
      <c r="A1047" s="2" t="s">
        <v>2697</v>
      </c>
      <c r="B1047" s="2" t="s">
        <v>2698</v>
      </c>
      <c r="C1047" s="2" t="s">
        <v>43</v>
      </c>
      <c r="D1047" s="2" t="s">
        <v>44</v>
      </c>
      <c r="E1047" s="5">
        <v>-30179</v>
      </c>
      <c r="F1047" s="3" t="s">
        <v>391</v>
      </c>
      <c r="G1047" s="3" t="s">
        <v>20</v>
      </c>
      <c r="H1047" s="2" t="s">
        <v>21</v>
      </c>
      <c r="I1047" s="2" t="s">
        <v>2699</v>
      </c>
      <c r="J1047" s="3" t="str">
        <f>HYPERLINK("https://www.boe.es/gazeta/dias/1817/05/15/pdfs/GMD-1817-58.pdf#page=7","Abrir facsímil")</f>
        <v>Abrir facsímil</v>
      </c>
      <c r="K1047" s="3" t="s">
        <v>23</v>
      </c>
    </row>
    <row r="1048" spans="1:11" ht="42" customHeight="1">
      <c r="A1048" s="2" t="s">
        <v>2700</v>
      </c>
      <c r="B1048" s="2" t="s">
        <v>2700</v>
      </c>
      <c r="C1048" s="2" t="s">
        <v>510</v>
      </c>
      <c r="D1048" s="2" t="s">
        <v>44</v>
      </c>
      <c r="E1048" s="5">
        <v>-30263</v>
      </c>
      <c r="F1048" s="3" t="s">
        <v>1794</v>
      </c>
      <c r="G1048" s="3" t="s">
        <v>551</v>
      </c>
      <c r="H1048" s="2" t="s">
        <v>21</v>
      </c>
      <c r="I1048" s="2" t="s">
        <v>2701</v>
      </c>
      <c r="J1048" s="3" t="str">
        <f>HYPERLINK("https://www.boe.es/gazeta/dias/1817/02/20/pdfs/GMD-1817-22.pdf#page=3","Abrir facsímil")</f>
        <v>Abrir facsímil</v>
      </c>
      <c r="K1048" s="3" t="s">
        <v>23</v>
      </c>
    </row>
    <row r="1049" spans="1:11" ht="42" customHeight="1">
      <c r="A1049" s="2" t="s">
        <v>2700</v>
      </c>
      <c r="B1049" s="2" t="s">
        <v>2700</v>
      </c>
      <c r="C1049" s="2" t="s">
        <v>49</v>
      </c>
      <c r="D1049" s="2" t="s">
        <v>44</v>
      </c>
      <c r="E1049" s="5">
        <v>-30200</v>
      </c>
      <c r="F1049" s="3" t="s">
        <v>725</v>
      </c>
      <c r="G1049" s="3" t="s">
        <v>629</v>
      </c>
      <c r="H1049" s="2" t="s">
        <v>21</v>
      </c>
      <c r="I1049" s="2" t="s">
        <v>2702</v>
      </c>
      <c r="J1049" s="3" t="str">
        <f>HYPERLINK("https://www.boe.es/gazeta/dias/1817/04/24/pdfs/GMD-1817-49.pdf#page=2","Abrir facsímil")</f>
        <v>Abrir facsímil</v>
      </c>
      <c r="K1049" s="3" t="s">
        <v>23</v>
      </c>
    </row>
    <row r="1050" spans="1:11" ht="42" customHeight="1">
      <c r="A1050" s="2" t="s">
        <v>2700</v>
      </c>
      <c r="B1050" s="2" t="s">
        <v>2700</v>
      </c>
      <c r="C1050" s="2" t="s">
        <v>17</v>
      </c>
      <c r="D1050" s="2" t="s">
        <v>18</v>
      </c>
      <c r="E1050" s="5">
        <v>-29988</v>
      </c>
      <c r="F1050" s="3" t="s">
        <v>569</v>
      </c>
      <c r="G1050" s="3" t="s">
        <v>629</v>
      </c>
      <c r="H1050" s="2" t="s">
        <v>21</v>
      </c>
      <c r="I1050" s="2" t="s">
        <v>2703</v>
      </c>
      <c r="J1050" s="3" t="str">
        <f>HYPERLINK("https://www.boe.es/gazeta/dias/1817/11/22/pdfs/GMD-1817-140.pdf#page=2","Abrir facsímil")</f>
        <v>Abrir facsímil</v>
      </c>
      <c r="K1050" s="3" t="s">
        <v>23</v>
      </c>
    </row>
    <row r="1051" spans="1:11" ht="42" customHeight="1">
      <c r="A1051" s="2" t="s">
        <v>2704</v>
      </c>
      <c r="B1051" s="2" t="s">
        <v>2705</v>
      </c>
      <c r="C1051" s="2" t="s">
        <v>55</v>
      </c>
      <c r="D1051" s="2" t="s">
        <v>44</v>
      </c>
      <c r="E1051" s="5">
        <v>-30020</v>
      </c>
      <c r="F1051" s="3" t="s">
        <v>291</v>
      </c>
      <c r="G1051" s="3" t="s">
        <v>2534</v>
      </c>
      <c r="H1051" s="2" t="s">
        <v>27</v>
      </c>
      <c r="I1051" s="2" t="s">
        <v>2706</v>
      </c>
      <c r="J1051" s="3" t="str">
        <f>HYPERLINK("https://www.boe.es/gazeta/dias/1817/10/21/pdfs/GMD-1817-126.pdf#page=8","Abrir facsímil")</f>
        <v>Abrir facsímil</v>
      </c>
      <c r="K1051" s="3" t="s">
        <v>29</v>
      </c>
    </row>
    <row r="1052" spans="1:11" ht="42" customHeight="1">
      <c r="A1052" s="2" t="s">
        <v>2707</v>
      </c>
      <c r="B1052" s="2" t="s">
        <v>2708</v>
      </c>
      <c r="C1052" s="2" t="s">
        <v>36</v>
      </c>
      <c r="D1052" s="2" t="s">
        <v>37</v>
      </c>
      <c r="E1052" s="5">
        <v>-30032</v>
      </c>
      <c r="F1052" s="3" t="s">
        <v>337</v>
      </c>
      <c r="G1052" s="3" t="s">
        <v>2709</v>
      </c>
      <c r="H1052" s="2" t="s">
        <v>21</v>
      </c>
      <c r="I1052" s="2" t="s">
        <v>2710</v>
      </c>
      <c r="J1052" s="3" t="str">
        <f>HYPERLINK("https://www.boe.es/gazeta/dias/1817/10/09/pdfs/GMD-1817-121.pdf#page=7","Abrir facsímil")</f>
        <v>Abrir facsímil</v>
      </c>
      <c r="K1052" s="3" t="s">
        <v>23</v>
      </c>
    </row>
    <row r="1053" spans="1:11" ht="42" customHeight="1">
      <c r="A1053" s="2" t="s">
        <v>2711</v>
      </c>
      <c r="B1053" s="2" t="s">
        <v>2711</v>
      </c>
      <c r="C1053" s="2" t="s">
        <v>36</v>
      </c>
      <c r="D1053" s="2" t="s">
        <v>37</v>
      </c>
      <c r="E1053" s="5">
        <v>-30142</v>
      </c>
      <c r="F1053" s="3" t="s">
        <v>286</v>
      </c>
      <c r="G1053" s="3" t="s">
        <v>551</v>
      </c>
      <c r="H1053" s="2" t="s">
        <v>21</v>
      </c>
      <c r="I1053" s="2" t="s">
        <v>2712</v>
      </c>
      <c r="J1053" s="3" t="str">
        <f>HYPERLINK("https://www.boe.es/gazeta/dias/1817/06/21/pdfs/GMD-1817-74.pdf#page=3","Abrir facsímil")</f>
        <v>Abrir facsímil</v>
      </c>
      <c r="K1053" s="3" t="s">
        <v>23</v>
      </c>
    </row>
    <row r="1054" spans="1:11" ht="42" customHeight="1">
      <c r="A1054" s="2" t="s">
        <v>2711</v>
      </c>
      <c r="B1054" s="2" t="s">
        <v>2711</v>
      </c>
      <c r="C1054" s="2" t="s">
        <v>36</v>
      </c>
      <c r="D1054" s="2" t="s">
        <v>37</v>
      </c>
      <c r="E1054" s="5">
        <v>-30093</v>
      </c>
      <c r="F1054" s="3" t="s">
        <v>230</v>
      </c>
      <c r="G1054" s="3" t="s">
        <v>551</v>
      </c>
      <c r="H1054" s="2" t="s">
        <v>21</v>
      </c>
      <c r="I1054" s="2" t="s">
        <v>2713</v>
      </c>
      <c r="J1054" s="3" t="str">
        <f>HYPERLINK("https://www.boe.es/gazeta/dias/1817/08/09/pdfs/GMD-1817-95.pdf#page=3","Abrir facsímil")</f>
        <v>Abrir facsímil</v>
      </c>
      <c r="K1054" s="3" t="s">
        <v>23</v>
      </c>
    </row>
    <row r="1055" spans="1:11" ht="42" customHeight="1">
      <c r="A1055" s="2" t="s">
        <v>2714</v>
      </c>
      <c r="B1055" s="2" t="s">
        <v>2715</v>
      </c>
      <c r="C1055" s="2" t="s">
        <v>43</v>
      </c>
      <c r="D1055" s="2" t="s">
        <v>44</v>
      </c>
      <c r="E1055" s="5">
        <v>-30312</v>
      </c>
      <c r="F1055" s="3" t="s">
        <v>86</v>
      </c>
      <c r="G1055" s="3" t="s">
        <v>39</v>
      </c>
      <c r="H1055" s="2" t="s">
        <v>27</v>
      </c>
      <c r="I1055" s="2" t="s">
        <v>2716</v>
      </c>
      <c r="J1055" s="3" t="str">
        <f>HYPERLINK("https://www.boe.es/gazeta/dias/1817/01/02/pdfs/GMD-1817-1.pdf#page=5","Abrir facsímil")</f>
        <v>Abrir facsímil</v>
      </c>
      <c r="K1055" s="3" t="s">
        <v>29</v>
      </c>
    </row>
    <row r="1056" spans="1:11" ht="42" customHeight="1">
      <c r="A1056" s="2" t="s">
        <v>2717</v>
      </c>
      <c r="B1056" s="2" t="s">
        <v>2718</v>
      </c>
      <c r="C1056" s="2" t="s">
        <v>55</v>
      </c>
      <c r="D1056" s="2" t="s">
        <v>44</v>
      </c>
      <c r="E1056" s="5">
        <v>-30060</v>
      </c>
      <c r="F1056" s="3" t="s">
        <v>446</v>
      </c>
      <c r="G1056" s="3" t="s">
        <v>77</v>
      </c>
      <c r="H1056" s="2" t="s">
        <v>21</v>
      </c>
      <c r="I1056" s="2" t="s">
        <v>2719</v>
      </c>
      <c r="J1056" s="3" t="str">
        <f>HYPERLINK("https://www.boe.es/gazeta/dias/1817/09/11/pdfs/GMD-1817-109.pdf#page=8","Abrir facsímil")</f>
        <v>Abrir facsímil</v>
      </c>
      <c r="K1056" s="3" t="s">
        <v>23</v>
      </c>
    </row>
    <row r="1057" spans="1:11" ht="42" customHeight="1">
      <c r="A1057" s="2" t="s">
        <v>2720</v>
      </c>
      <c r="B1057" s="2" t="s">
        <v>2721</v>
      </c>
      <c r="C1057" s="2" t="s">
        <v>36</v>
      </c>
      <c r="D1057" s="2" t="s">
        <v>37</v>
      </c>
      <c r="E1057" s="5">
        <v>-30123</v>
      </c>
      <c r="F1057" s="3" t="s">
        <v>848</v>
      </c>
      <c r="G1057" s="3" t="s">
        <v>20</v>
      </c>
      <c r="H1057" s="2" t="s">
        <v>21</v>
      </c>
      <c r="I1057" s="2" t="s">
        <v>2722</v>
      </c>
      <c r="J1057" s="3" t="str">
        <f>HYPERLINK("https://www.boe.es/gazeta/dias/1817/07/10/pdfs/GMD-1817-82.pdf#page=7","Abrir facsímil")</f>
        <v>Abrir facsímil</v>
      </c>
      <c r="K1057" s="3" t="s">
        <v>23</v>
      </c>
    </row>
    <row r="1058" spans="1:11" ht="42" customHeight="1">
      <c r="A1058" s="2" t="s">
        <v>2723</v>
      </c>
      <c r="B1058" s="2" t="s">
        <v>2724</v>
      </c>
      <c r="C1058" s="2" t="s">
        <v>36</v>
      </c>
      <c r="D1058" s="2" t="s">
        <v>37</v>
      </c>
      <c r="E1058" s="5">
        <v>-30032</v>
      </c>
      <c r="F1058" s="3" t="s">
        <v>337</v>
      </c>
      <c r="G1058" s="3" t="s">
        <v>144</v>
      </c>
      <c r="H1058" s="2" t="s">
        <v>21</v>
      </c>
      <c r="I1058" s="2" t="s">
        <v>2725</v>
      </c>
      <c r="J1058" s="3" t="str">
        <f>HYPERLINK("https://www.boe.es/gazeta/dias/1817/10/09/pdfs/GMD-1817-121.pdf#page=4","Abrir facsímil")</f>
        <v>Abrir facsímil</v>
      </c>
      <c r="K1058" s="3" t="s">
        <v>23</v>
      </c>
    </row>
    <row r="1059" spans="1:11" ht="42" customHeight="1">
      <c r="A1059" s="2" t="s">
        <v>2726</v>
      </c>
      <c r="B1059" s="2" t="s">
        <v>2726</v>
      </c>
      <c r="C1059" s="2" t="s">
        <v>36</v>
      </c>
      <c r="D1059" s="2" t="s">
        <v>37</v>
      </c>
      <c r="E1059" s="5">
        <v>-30132</v>
      </c>
      <c r="F1059" s="3" t="s">
        <v>718</v>
      </c>
      <c r="G1059" s="3" t="s">
        <v>144</v>
      </c>
      <c r="H1059" s="2" t="s">
        <v>21</v>
      </c>
      <c r="I1059" s="2" t="s">
        <v>2727</v>
      </c>
      <c r="J1059" s="3" t="str">
        <f>HYPERLINK("https://www.boe.es/gazeta/dias/1817/07/01/pdfs/GMD-1817-78.pdf#page=4","Abrir facsímil")</f>
        <v>Abrir facsímil</v>
      </c>
      <c r="K1059" s="3" t="s">
        <v>23</v>
      </c>
    </row>
    <row r="1060" spans="1:11" ht="42" customHeight="1">
      <c r="A1060" s="2" t="s">
        <v>2728</v>
      </c>
      <c r="B1060" s="2" t="s">
        <v>2729</v>
      </c>
      <c r="C1060" s="2" t="s">
        <v>138</v>
      </c>
      <c r="D1060" s="2" t="s">
        <v>44</v>
      </c>
      <c r="E1060" s="5">
        <v>-30121</v>
      </c>
      <c r="F1060" s="3" t="s">
        <v>851</v>
      </c>
      <c r="G1060" s="3" t="s">
        <v>77</v>
      </c>
      <c r="H1060" s="2" t="s">
        <v>21</v>
      </c>
      <c r="I1060" s="2" t="s">
        <v>2730</v>
      </c>
      <c r="J1060" s="3" t="str">
        <f>HYPERLINK("https://www.boe.es/gazeta/dias/1817/07/12/pdfs/GMD-1817-83.pdf#page=8","Abrir facsímil")</f>
        <v>Abrir facsímil</v>
      </c>
      <c r="K1060" s="3" t="s">
        <v>23</v>
      </c>
    </row>
    <row r="1061" spans="1:11" ht="42" customHeight="1">
      <c r="A1061" s="2" t="s">
        <v>2731</v>
      </c>
      <c r="B1061" s="2" t="s">
        <v>2731</v>
      </c>
      <c r="C1061" s="2" t="s">
        <v>36</v>
      </c>
      <c r="D1061" s="2" t="s">
        <v>37</v>
      </c>
      <c r="E1061" s="5">
        <v>-30116</v>
      </c>
      <c r="F1061" s="3" t="s">
        <v>319</v>
      </c>
      <c r="G1061" s="3" t="s">
        <v>57</v>
      </c>
      <c r="H1061" s="2" t="s">
        <v>21</v>
      </c>
      <c r="I1061" s="2" t="s">
        <v>2732</v>
      </c>
      <c r="J1061" s="3" t="str">
        <f>HYPERLINK("https://www.boe.es/gazeta/dias/1817/07/17/pdfs/GMD-1817-85.pdf#page=6","Abrir facsímil")</f>
        <v>Abrir facsímil</v>
      </c>
      <c r="K1061" s="3" t="s">
        <v>23</v>
      </c>
    </row>
    <row r="1062" spans="1:11" ht="42" customHeight="1">
      <c r="A1062" s="2" t="s">
        <v>2731</v>
      </c>
      <c r="B1062" s="2" t="s">
        <v>2731</v>
      </c>
      <c r="C1062" s="2" t="s">
        <v>36</v>
      </c>
      <c r="D1062" s="2" t="s">
        <v>37</v>
      </c>
      <c r="E1062" s="5">
        <v>-30104</v>
      </c>
      <c r="F1062" s="3" t="s">
        <v>856</v>
      </c>
      <c r="G1062" s="3" t="s">
        <v>57</v>
      </c>
      <c r="H1062" s="2" t="s">
        <v>21</v>
      </c>
      <c r="I1062" s="2" t="s">
        <v>2733</v>
      </c>
      <c r="J1062" s="3" t="str">
        <f>HYPERLINK("https://www.boe.es/gazeta/dias/1817/07/29/pdfs/GMD-1817-90.pdf#page=6","Abrir facsímil")</f>
        <v>Abrir facsímil</v>
      </c>
      <c r="K1062" s="3" t="s">
        <v>23</v>
      </c>
    </row>
    <row r="1063" spans="1:11" ht="42" customHeight="1">
      <c r="A1063" s="2" t="s">
        <v>2734</v>
      </c>
      <c r="B1063" s="2" t="s">
        <v>2735</v>
      </c>
      <c r="C1063" s="2" t="s">
        <v>36</v>
      </c>
      <c r="D1063" s="2" t="s">
        <v>37</v>
      </c>
      <c r="E1063" s="5">
        <v>-30272</v>
      </c>
      <c r="F1063" s="3" t="s">
        <v>493</v>
      </c>
      <c r="G1063" s="3" t="s">
        <v>551</v>
      </c>
      <c r="H1063" s="2" t="s">
        <v>21</v>
      </c>
      <c r="I1063" s="2" t="s">
        <v>2736</v>
      </c>
      <c r="J1063" s="3" t="str">
        <f>HYPERLINK("https://www.boe.es/gazeta/dias/1817/02/11/pdfs/GMD-1817-18.pdf#page=3","Abrir facsímil")</f>
        <v>Abrir facsímil</v>
      </c>
      <c r="K1063" s="3" t="s">
        <v>23</v>
      </c>
    </row>
    <row r="1064" spans="1:11" ht="42" customHeight="1">
      <c r="A1064" s="2" t="s">
        <v>2737</v>
      </c>
      <c r="B1064" s="2" t="s">
        <v>2738</v>
      </c>
      <c r="C1064" s="2" t="s">
        <v>17</v>
      </c>
      <c r="D1064" s="2" t="s">
        <v>18</v>
      </c>
      <c r="E1064" s="5">
        <v>-30086</v>
      </c>
      <c r="F1064" s="3" t="s">
        <v>221</v>
      </c>
      <c r="G1064" s="3" t="s">
        <v>222</v>
      </c>
      <c r="H1064" s="2" t="s">
        <v>21</v>
      </c>
      <c r="I1064" s="2" t="s">
        <v>2739</v>
      </c>
      <c r="J1064" s="3" t="str">
        <f>HYPERLINK("https://www.boe.es/gazeta/dias/1817/08/16/pdfs/GMD-1817-98.pdf#page=8","Abrir facsímil")</f>
        <v>Abrir facsímil</v>
      </c>
      <c r="K1064" s="3" t="s">
        <v>23</v>
      </c>
    </row>
    <row r="1065" spans="1:11" ht="42" customHeight="1">
      <c r="A1065" s="2" t="s">
        <v>2740</v>
      </c>
      <c r="B1065" s="2" t="s">
        <v>2741</v>
      </c>
      <c r="C1065" s="2" t="s">
        <v>36</v>
      </c>
      <c r="D1065" s="2" t="s">
        <v>37</v>
      </c>
      <c r="E1065" s="5">
        <v>-30039</v>
      </c>
      <c r="F1065" s="3" t="s">
        <v>558</v>
      </c>
      <c r="G1065" s="3" t="s">
        <v>1592</v>
      </c>
      <c r="H1065" s="2" t="s">
        <v>21</v>
      </c>
      <c r="I1065" s="2" t="s">
        <v>2742</v>
      </c>
      <c r="J1065" s="3" t="str">
        <f>HYPERLINK("https://www.boe.es/gazeta/dias/1817/10/02/pdfs/GMD-1817-118.pdf#page=6","Abrir facsímil")</f>
        <v>Abrir facsímil</v>
      </c>
      <c r="K1065" s="3" t="s">
        <v>23</v>
      </c>
    </row>
    <row r="1066" spans="1:11" ht="42" customHeight="1">
      <c r="A1066" s="2" t="s">
        <v>2743</v>
      </c>
      <c r="B1066" s="2" t="s">
        <v>2744</v>
      </c>
      <c r="C1066" s="2" t="s">
        <v>17</v>
      </c>
      <c r="D1066" s="2" t="s">
        <v>18</v>
      </c>
      <c r="E1066" s="5">
        <v>-30256</v>
      </c>
      <c r="F1066" s="3" t="s">
        <v>302</v>
      </c>
      <c r="G1066" s="3" t="s">
        <v>688</v>
      </c>
      <c r="H1066" s="2" t="s">
        <v>27</v>
      </c>
      <c r="I1066" s="2" t="s">
        <v>2745</v>
      </c>
      <c r="J1066" s="3" t="str">
        <f>HYPERLINK("https://www.boe.es/gazeta/dias/1817/02/27/pdfs/GMD-1817-25.pdf#page=6","Abrir facsímil")</f>
        <v>Abrir facsímil</v>
      </c>
      <c r="K1066" s="3" t="s">
        <v>29</v>
      </c>
    </row>
    <row r="1067" spans="1:11" ht="42" customHeight="1">
      <c r="A1067" s="2" t="s">
        <v>2746</v>
      </c>
      <c r="B1067" s="2" t="s">
        <v>2747</v>
      </c>
      <c r="C1067" s="2" t="s">
        <v>36</v>
      </c>
      <c r="D1067" s="2" t="s">
        <v>37</v>
      </c>
      <c r="E1067" s="5">
        <v>-29985</v>
      </c>
      <c r="F1067" s="3" t="s">
        <v>76</v>
      </c>
      <c r="G1067" s="3" t="s">
        <v>39</v>
      </c>
      <c r="H1067" s="2" t="s">
        <v>21</v>
      </c>
      <c r="I1067" s="2" t="s">
        <v>2748</v>
      </c>
      <c r="J1067" s="3" t="str">
        <f>HYPERLINK("https://www.boe.es/gazeta/dias/1817/11/25/pdfs/GMD-1817-141.pdf#page=5","Abrir facsímil")</f>
        <v>Abrir facsímil</v>
      </c>
      <c r="K1067" s="3" t="s">
        <v>23</v>
      </c>
    </row>
    <row r="1068" spans="1:11" ht="42" customHeight="1">
      <c r="A1068" s="2" t="s">
        <v>2749</v>
      </c>
      <c r="B1068" s="2" t="s">
        <v>2750</v>
      </c>
      <c r="C1068" s="2" t="s">
        <v>36</v>
      </c>
      <c r="D1068" s="2" t="s">
        <v>37</v>
      </c>
      <c r="E1068" s="5">
        <v>-29985</v>
      </c>
      <c r="F1068" s="3" t="s">
        <v>76</v>
      </c>
      <c r="G1068" s="3" t="s">
        <v>39</v>
      </c>
      <c r="H1068" s="2" t="s">
        <v>21</v>
      </c>
      <c r="I1068" s="2" t="s">
        <v>2751</v>
      </c>
      <c r="J1068" s="3" t="str">
        <f>HYPERLINK("https://www.boe.es/gazeta/dias/1817/11/25/pdfs/GMD-1817-141.pdf#page=5","Abrir facsímil")</f>
        <v>Abrir facsímil</v>
      </c>
      <c r="K1068" s="3" t="s">
        <v>23</v>
      </c>
    </row>
    <row r="1069" spans="1:11" ht="42" customHeight="1">
      <c r="A1069" s="2" t="s">
        <v>2752</v>
      </c>
      <c r="B1069" s="2" t="s">
        <v>2752</v>
      </c>
      <c r="C1069" s="2" t="s">
        <v>43</v>
      </c>
      <c r="D1069" s="2" t="s">
        <v>44</v>
      </c>
      <c r="E1069" s="5">
        <v>-30188</v>
      </c>
      <c r="F1069" s="3" t="s">
        <v>177</v>
      </c>
      <c r="G1069" s="3" t="s">
        <v>2753</v>
      </c>
      <c r="H1069" s="2" t="s">
        <v>21</v>
      </c>
      <c r="I1069" s="2" t="s">
        <v>2754</v>
      </c>
      <c r="J1069" s="3" t="str">
        <f>HYPERLINK("https://www.boe.es/gazeta/dias/1817/05/06/pdfs/GMD-1817-54.pdf#page=2","Abrir facsímil")</f>
        <v>Abrir facsímil</v>
      </c>
      <c r="K1069" s="3" t="s">
        <v>23</v>
      </c>
    </row>
    <row r="1070" spans="1:11" ht="42" customHeight="1">
      <c r="A1070" s="2" t="s">
        <v>2755</v>
      </c>
      <c r="B1070" s="2" t="s">
        <v>2755</v>
      </c>
      <c r="C1070" s="2" t="s">
        <v>36</v>
      </c>
      <c r="D1070" s="2" t="s">
        <v>37</v>
      </c>
      <c r="E1070" s="5">
        <v>-30242</v>
      </c>
      <c r="F1070" s="3" t="s">
        <v>62</v>
      </c>
      <c r="G1070" s="3" t="s">
        <v>551</v>
      </c>
      <c r="H1070" s="2" t="s">
        <v>21</v>
      </c>
      <c r="I1070" s="2" t="s">
        <v>2756</v>
      </c>
      <c r="J1070" s="3" t="str">
        <f>HYPERLINK("https://www.boe.es/gazeta/dias/1817/03/13/pdfs/GMD-1817-31.pdf#page=3","Abrir facsímil")</f>
        <v>Abrir facsímil</v>
      </c>
      <c r="K1070" s="3" t="s">
        <v>23</v>
      </c>
    </row>
    <row r="1071" spans="1:11" ht="42" customHeight="1">
      <c r="A1071" s="2" t="s">
        <v>2755</v>
      </c>
      <c r="B1071" s="2" t="s">
        <v>2755</v>
      </c>
      <c r="C1071" s="2" t="s">
        <v>510</v>
      </c>
      <c r="D1071" s="2" t="s">
        <v>44</v>
      </c>
      <c r="E1071" s="5">
        <v>-30109</v>
      </c>
      <c r="F1071" s="3" t="s">
        <v>205</v>
      </c>
      <c r="G1071" s="3" t="s">
        <v>551</v>
      </c>
      <c r="H1071" s="2" t="s">
        <v>21</v>
      </c>
      <c r="I1071" s="2" t="s">
        <v>2757</v>
      </c>
      <c r="J1071" s="3" t="str">
        <f>HYPERLINK("https://www.boe.es/gazeta/dias/1817/07/24/pdfs/GMD-1817-88.pdf#page=3","Abrir facsímil")</f>
        <v>Abrir facsímil</v>
      </c>
      <c r="K1071" s="3" t="s">
        <v>23</v>
      </c>
    </row>
    <row r="1072" spans="1:11" ht="42" customHeight="1">
      <c r="A1072" s="2" t="s">
        <v>2755</v>
      </c>
      <c r="B1072" s="2" t="s">
        <v>2755</v>
      </c>
      <c r="C1072" s="2" t="s">
        <v>43</v>
      </c>
      <c r="D1072" s="2" t="s">
        <v>44</v>
      </c>
      <c r="E1072" s="5">
        <v>-30093</v>
      </c>
      <c r="F1072" s="3" t="s">
        <v>230</v>
      </c>
      <c r="G1072" s="3" t="s">
        <v>551</v>
      </c>
      <c r="H1072" s="2" t="s">
        <v>21</v>
      </c>
      <c r="I1072" s="2" t="s">
        <v>2758</v>
      </c>
      <c r="J1072" s="3" t="str">
        <f>HYPERLINK("https://www.boe.es/gazeta/dias/1817/08/09/pdfs/GMD-1817-95.pdf#page=3","Abrir facsímil")</f>
        <v>Abrir facsímil</v>
      </c>
      <c r="K1072" s="3" t="s">
        <v>23</v>
      </c>
    </row>
    <row r="1073" spans="1:11" ht="42" customHeight="1">
      <c r="A1073" s="2" t="s">
        <v>2759</v>
      </c>
      <c r="B1073" s="2" t="s">
        <v>2760</v>
      </c>
      <c r="C1073" s="2" t="s">
        <v>17</v>
      </c>
      <c r="D1073" s="2" t="s">
        <v>18</v>
      </c>
      <c r="E1073" s="5">
        <v>-30268</v>
      </c>
      <c r="F1073" s="3" t="s">
        <v>1160</v>
      </c>
      <c r="G1073" s="3" t="s">
        <v>77</v>
      </c>
      <c r="H1073" s="2" t="s">
        <v>21</v>
      </c>
      <c r="I1073" s="2" t="s">
        <v>2761</v>
      </c>
      <c r="J1073" s="3" t="str">
        <f>HYPERLINK("https://www.boe.es/gazeta/dias/1817/02/15/pdfs/GMD-1817-20.pdf#page=8","Abrir facsímil")</f>
        <v>Abrir facsímil</v>
      </c>
      <c r="K1073" s="3" t="s">
        <v>23</v>
      </c>
    </row>
    <row r="1074" spans="1:11" ht="42" customHeight="1">
      <c r="A1074" s="2" t="s">
        <v>2759</v>
      </c>
      <c r="B1074" s="2" t="s">
        <v>2760</v>
      </c>
      <c r="C1074" s="2" t="s">
        <v>17</v>
      </c>
      <c r="D1074" s="2" t="s">
        <v>18</v>
      </c>
      <c r="E1074" s="5">
        <v>-30265</v>
      </c>
      <c r="F1074" s="3" t="s">
        <v>107</v>
      </c>
      <c r="G1074" s="3" t="s">
        <v>20</v>
      </c>
      <c r="H1074" s="2" t="s">
        <v>21</v>
      </c>
      <c r="I1074" s="2" t="s">
        <v>2762</v>
      </c>
      <c r="J1074" s="3" t="str">
        <f>HYPERLINK("https://www.boe.es/gazeta/dias/1817/02/18/pdfs/GMD-1817-21.pdf#page=7","Abrir facsímil")</f>
        <v>Abrir facsímil</v>
      </c>
      <c r="K1074" s="3" t="s">
        <v>23</v>
      </c>
    </row>
    <row r="1075" spans="1:11" ht="42" customHeight="1">
      <c r="A1075" s="2" t="s">
        <v>2759</v>
      </c>
      <c r="B1075" s="2" t="s">
        <v>2760</v>
      </c>
      <c r="C1075" s="2" t="s">
        <v>17</v>
      </c>
      <c r="D1075" s="2" t="s">
        <v>18</v>
      </c>
      <c r="E1075" s="5">
        <v>-30251</v>
      </c>
      <c r="F1075" s="3" t="s">
        <v>2096</v>
      </c>
      <c r="G1075" s="3" t="s">
        <v>20</v>
      </c>
      <c r="H1075" s="2" t="s">
        <v>21</v>
      </c>
      <c r="I1075" s="2" t="s">
        <v>2763</v>
      </c>
      <c r="J1075" s="3" t="str">
        <f>HYPERLINK("https://www.boe.es/gazeta/dias/1817/03/04/pdfs/GMD-1817-27.pdf#page=7","Abrir facsímil")</f>
        <v>Abrir facsímil</v>
      </c>
      <c r="K1075" s="3" t="s">
        <v>23</v>
      </c>
    </row>
    <row r="1076" spans="1:11" ht="42" customHeight="1">
      <c r="A1076" s="2" t="s">
        <v>2764</v>
      </c>
      <c r="B1076" s="2" t="s">
        <v>2765</v>
      </c>
      <c r="C1076" s="2" t="s">
        <v>17</v>
      </c>
      <c r="D1076" s="2" t="s">
        <v>18</v>
      </c>
      <c r="E1076" s="5">
        <v>-30060</v>
      </c>
      <c r="F1076" s="3" t="s">
        <v>446</v>
      </c>
      <c r="G1076" s="3" t="s">
        <v>20</v>
      </c>
      <c r="H1076" s="2" t="s">
        <v>21</v>
      </c>
      <c r="I1076" s="2" t="s">
        <v>2766</v>
      </c>
      <c r="J1076" s="3" t="str">
        <f>HYPERLINK("https://www.boe.es/gazeta/dias/1817/09/11/pdfs/GMD-1817-109.pdf#page=7","Abrir facsímil")</f>
        <v>Abrir facsímil</v>
      </c>
      <c r="K1076" s="3" t="s">
        <v>23</v>
      </c>
    </row>
    <row r="1077" spans="1:11" ht="42" customHeight="1">
      <c r="A1077" s="2" t="s">
        <v>2767</v>
      </c>
      <c r="B1077" s="2" t="s">
        <v>2768</v>
      </c>
      <c r="C1077" s="2" t="s">
        <v>17</v>
      </c>
      <c r="D1077" s="2" t="s">
        <v>18</v>
      </c>
      <c r="E1077" s="5">
        <v>-30167</v>
      </c>
      <c r="F1077" s="3" t="s">
        <v>153</v>
      </c>
      <c r="G1077" s="3" t="s">
        <v>57</v>
      </c>
      <c r="H1077" s="2" t="s">
        <v>21</v>
      </c>
      <c r="I1077" s="2" t="s">
        <v>2769</v>
      </c>
      <c r="J1077" s="3" t="str">
        <f>HYPERLINK("https://www.boe.es/gazeta/dias/1817/05/27/pdfs/GMD-1817-63.pdf#page=6","Abrir facsímil")</f>
        <v>Abrir facsímil</v>
      </c>
      <c r="K1077" s="3" t="s">
        <v>23</v>
      </c>
    </row>
    <row r="1078" spans="1:11" ht="42" customHeight="1">
      <c r="A1078" s="2" t="s">
        <v>2770</v>
      </c>
      <c r="B1078" s="2" t="s">
        <v>2770</v>
      </c>
      <c r="C1078" s="2" t="s">
        <v>36</v>
      </c>
      <c r="D1078" s="2" t="s">
        <v>37</v>
      </c>
      <c r="E1078" s="5">
        <v>-30095</v>
      </c>
      <c r="F1078" s="3" t="s">
        <v>365</v>
      </c>
      <c r="G1078" s="3" t="s">
        <v>144</v>
      </c>
      <c r="H1078" s="2" t="s">
        <v>21</v>
      </c>
      <c r="I1078" s="2" t="s">
        <v>2771</v>
      </c>
      <c r="J1078" s="3" t="str">
        <f>HYPERLINK("https://www.boe.es/gazeta/dias/1817/08/07/pdfs/GMD-1817-94.pdf#page=4","Abrir facsímil")</f>
        <v>Abrir facsímil</v>
      </c>
      <c r="K1078" s="3" t="s">
        <v>23</v>
      </c>
    </row>
    <row r="1079" spans="1:11" ht="42" customHeight="1">
      <c r="A1079" s="2" t="s">
        <v>2772</v>
      </c>
      <c r="B1079" s="2" t="s">
        <v>2772</v>
      </c>
      <c r="C1079" s="2" t="s">
        <v>36</v>
      </c>
      <c r="D1079" s="2" t="s">
        <v>37</v>
      </c>
      <c r="E1079" s="5">
        <v>-30095</v>
      </c>
      <c r="F1079" s="3" t="s">
        <v>365</v>
      </c>
      <c r="G1079" s="3" t="s">
        <v>629</v>
      </c>
      <c r="H1079" s="2" t="s">
        <v>21</v>
      </c>
      <c r="I1079" s="2" t="s">
        <v>2773</v>
      </c>
      <c r="J1079" s="3" t="str">
        <f>HYPERLINK("https://www.boe.es/gazeta/dias/1817/08/07/pdfs/GMD-1817-94.pdf#page=2","Abrir facsímil")</f>
        <v>Abrir facsímil</v>
      </c>
      <c r="K1079" s="3" t="s">
        <v>23</v>
      </c>
    </row>
    <row r="1080" spans="1:11" ht="42" customHeight="1">
      <c r="A1080" s="2" t="s">
        <v>2772</v>
      </c>
      <c r="B1080" s="2" t="s">
        <v>2772</v>
      </c>
      <c r="C1080" s="2" t="s">
        <v>49</v>
      </c>
      <c r="D1080" s="2" t="s">
        <v>44</v>
      </c>
      <c r="E1080" s="5">
        <v>-30088</v>
      </c>
      <c r="F1080" s="3" t="s">
        <v>244</v>
      </c>
      <c r="G1080" s="3" t="s">
        <v>72</v>
      </c>
      <c r="H1080" s="2" t="s">
        <v>21</v>
      </c>
      <c r="I1080" s="2" t="s">
        <v>2774</v>
      </c>
      <c r="J1080" s="3" t="str">
        <f>HYPERLINK("https://www.boe.es/gazeta/dias/1817/08/14/pdfs/GMD-1817-97.pdf#page=1","Abrir facsímil")</f>
        <v>Abrir facsímil</v>
      </c>
      <c r="K1080" s="3" t="s">
        <v>23</v>
      </c>
    </row>
    <row r="1081" spans="1:11" ht="42" customHeight="1">
      <c r="A1081" s="2" t="s">
        <v>2772</v>
      </c>
      <c r="B1081" s="2" t="s">
        <v>2772</v>
      </c>
      <c r="C1081" s="2" t="s">
        <v>36</v>
      </c>
      <c r="D1081" s="2" t="s">
        <v>37</v>
      </c>
      <c r="E1081" s="5">
        <v>-30072</v>
      </c>
      <c r="F1081" s="3" t="s">
        <v>442</v>
      </c>
      <c r="G1081" s="3" t="s">
        <v>1534</v>
      </c>
      <c r="H1081" s="2" t="s">
        <v>21</v>
      </c>
      <c r="I1081" s="2" t="s">
        <v>2775</v>
      </c>
      <c r="J1081" s="3" t="str">
        <f>HYPERLINK("https://www.boe.es/gazeta/dias/1817/08/30/pdfs/GMD-1817-104.pdf#page=2","Abrir facsímil")</f>
        <v>Abrir facsímil</v>
      </c>
      <c r="K1081" s="3" t="s">
        <v>23</v>
      </c>
    </row>
    <row r="1082" spans="1:11" ht="42" customHeight="1">
      <c r="A1082" s="2" t="s">
        <v>2772</v>
      </c>
      <c r="B1082" s="2" t="s">
        <v>2772</v>
      </c>
      <c r="C1082" s="2" t="s">
        <v>36</v>
      </c>
      <c r="D1082" s="2" t="s">
        <v>37</v>
      </c>
      <c r="E1082" s="5">
        <v>-30025</v>
      </c>
      <c r="F1082" s="3" t="s">
        <v>458</v>
      </c>
      <c r="G1082" s="3" t="s">
        <v>629</v>
      </c>
      <c r="H1082" s="2" t="s">
        <v>21</v>
      </c>
      <c r="I1082" s="2" t="s">
        <v>2776</v>
      </c>
      <c r="J1082" s="3" t="str">
        <f>HYPERLINK("https://www.boe.es/gazeta/dias/1817/10/16/pdfs/GMD-1817-124.pdf#page=2","Abrir facsímil")</f>
        <v>Abrir facsímil</v>
      </c>
      <c r="K1082" s="3" t="s">
        <v>23</v>
      </c>
    </row>
    <row r="1083" spans="1:11" ht="42" customHeight="1">
      <c r="A1083" s="2" t="s">
        <v>2777</v>
      </c>
      <c r="B1083" s="2" t="s">
        <v>2778</v>
      </c>
      <c r="C1083" s="2" t="s">
        <v>36</v>
      </c>
      <c r="D1083" s="2" t="s">
        <v>37</v>
      </c>
      <c r="E1083" s="5">
        <v>-30062</v>
      </c>
      <c r="F1083" s="3" t="s">
        <v>444</v>
      </c>
      <c r="G1083" s="3" t="s">
        <v>691</v>
      </c>
      <c r="H1083" s="2" t="s">
        <v>21</v>
      </c>
      <c r="I1083" s="2" t="s">
        <v>2779</v>
      </c>
      <c r="J1083" s="3" t="str">
        <f>HYPERLINK("https://www.boe.es/gazeta/dias/1817/09/09/pdfs/GMD-1817-108.pdf#page=8","Abrir facsímil")</f>
        <v>Abrir facsímil</v>
      </c>
      <c r="K1083" s="3" t="s">
        <v>23</v>
      </c>
    </row>
    <row r="1084" spans="1:11" ht="42" customHeight="1">
      <c r="A1084" s="2" t="s">
        <v>2780</v>
      </c>
      <c r="B1084" s="2" t="s">
        <v>2781</v>
      </c>
      <c r="C1084" s="2" t="s">
        <v>17</v>
      </c>
      <c r="D1084" s="2" t="s">
        <v>18</v>
      </c>
      <c r="E1084" s="5">
        <v>-30095</v>
      </c>
      <c r="F1084" s="3" t="s">
        <v>365</v>
      </c>
      <c r="G1084" s="3" t="s">
        <v>112</v>
      </c>
      <c r="H1084" s="2" t="s">
        <v>21</v>
      </c>
      <c r="I1084" s="2" t="s">
        <v>2782</v>
      </c>
      <c r="J1084" s="3" t="str">
        <f>HYPERLINK("https://www.boe.es/gazeta/dias/1817/08/07/pdfs/GMD-1817-94.pdf#page=11","Abrir facsímil")</f>
        <v>Abrir facsímil</v>
      </c>
      <c r="K1084" s="3" t="s">
        <v>23</v>
      </c>
    </row>
    <row r="1085" spans="1:11" ht="42" customHeight="1">
      <c r="A1085" s="2" t="s">
        <v>2783</v>
      </c>
      <c r="B1085" s="2" t="s">
        <v>2784</v>
      </c>
      <c r="C1085" s="2" t="s">
        <v>36</v>
      </c>
      <c r="D1085" s="2" t="s">
        <v>37</v>
      </c>
      <c r="E1085" s="5">
        <v>-30039</v>
      </c>
      <c r="F1085" s="3" t="s">
        <v>558</v>
      </c>
      <c r="G1085" s="3" t="s">
        <v>1592</v>
      </c>
      <c r="H1085" s="2" t="s">
        <v>21</v>
      </c>
      <c r="I1085" s="2" t="s">
        <v>2785</v>
      </c>
      <c r="J1085" s="3" t="str">
        <f>HYPERLINK("https://www.boe.es/gazeta/dias/1817/10/02/pdfs/GMD-1817-118.pdf#page=6","Abrir facsímil")</f>
        <v>Abrir facsímil</v>
      </c>
      <c r="K1085" s="3" t="s">
        <v>23</v>
      </c>
    </row>
    <row r="1086" spans="1:11" ht="42" customHeight="1">
      <c r="A1086" s="2" t="s">
        <v>2786</v>
      </c>
      <c r="B1086" s="2" t="s">
        <v>2787</v>
      </c>
      <c r="C1086" s="2" t="s">
        <v>36</v>
      </c>
      <c r="D1086" s="2" t="s">
        <v>37</v>
      </c>
      <c r="E1086" s="5">
        <v>-29997</v>
      </c>
      <c r="F1086" s="3" t="s">
        <v>652</v>
      </c>
      <c r="G1086" s="3" t="s">
        <v>1095</v>
      </c>
      <c r="H1086" s="2" t="s">
        <v>27</v>
      </c>
      <c r="I1086" s="2" t="s">
        <v>2788</v>
      </c>
      <c r="J1086" s="3" t="str">
        <f>HYPERLINK("https://www.boe.es/gazeta/dias/1817/11/13/pdfs/GMD-1817-136.pdf#page=10","Abrir facsímil")</f>
        <v>Abrir facsímil</v>
      </c>
      <c r="K1086" s="3" t="s">
        <v>29</v>
      </c>
    </row>
    <row r="1087" spans="1:11" ht="42" customHeight="1">
      <c r="A1087" s="2" t="s">
        <v>2789</v>
      </c>
      <c r="B1087" s="2" t="s">
        <v>2790</v>
      </c>
      <c r="C1087" s="2" t="s">
        <v>36</v>
      </c>
      <c r="D1087" s="2" t="s">
        <v>37</v>
      </c>
      <c r="E1087" s="5">
        <v>-30198</v>
      </c>
      <c r="F1087" s="3" t="s">
        <v>2185</v>
      </c>
      <c r="G1087" s="3" t="s">
        <v>57</v>
      </c>
      <c r="H1087" s="2" t="s">
        <v>21</v>
      </c>
      <c r="I1087" s="2" t="s">
        <v>2791</v>
      </c>
      <c r="J1087" s="3" t="str">
        <f>HYPERLINK("https://www.boe.es/gazeta/dias/1817/04/26/pdfs/GMD-1817-50.pdf#page=6","Abrir facsímil")</f>
        <v>Abrir facsímil</v>
      </c>
      <c r="K1087" s="3" t="s">
        <v>23</v>
      </c>
    </row>
    <row r="1088" spans="1:11" ht="42" customHeight="1">
      <c r="A1088" s="2" t="s">
        <v>2792</v>
      </c>
      <c r="B1088" s="2" t="s">
        <v>2793</v>
      </c>
      <c r="C1088" s="2" t="s">
        <v>55</v>
      </c>
      <c r="D1088" s="2" t="s">
        <v>44</v>
      </c>
      <c r="E1088" s="5">
        <v>-30114</v>
      </c>
      <c r="F1088" s="3" t="s">
        <v>500</v>
      </c>
      <c r="G1088" s="3" t="s">
        <v>915</v>
      </c>
      <c r="H1088" s="2" t="s">
        <v>21</v>
      </c>
      <c r="I1088" s="2" t="s">
        <v>2794</v>
      </c>
      <c r="J1088" s="3" t="str">
        <f>HYPERLINK("https://www.boe.es/gazeta/dias/1817/07/19/pdfs/GMD-1817-86.pdf#page=6","Abrir facsímil")</f>
        <v>Abrir facsímil</v>
      </c>
      <c r="K1088" s="3" t="s">
        <v>23</v>
      </c>
    </row>
    <row r="1089" spans="1:11" ht="42" customHeight="1">
      <c r="A1089" s="2" t="s">
        <v>2795</v>
      </c>
      <c r="B1089" s="2" t="s">
        <v>2796</v>
      </c>
      <c r="C1089" s="2" t="s">
        <v>36</v>
      </c>
      <c r="D1089" s="2" t="s">
        <v>37</v>
      </c>
      <c r="E1089" s="5">
        <v>-30114</v>
      </c>
      <c r="F1089" s="3" t="s">
        <v>500</v>
      </c>
      <c r="G1089" s="3" t="s">
        <v>77</v>
      </c>
      <c r="H1089" s="2" t="s">
        <v>21</v>
      </c>
      <c r="I1089" s="2" t="s">
        <v>2797</v>
      </c>
      <c r="J1089" s="3" t="str">
        <f>HYPERLINK("https://www.boe.es/gazeta/dias/1817/07/19/pdfs/GMD-1817-86.pdf#page=8","Abrir facsímil")</f>
        <v>Abrir facsímil</v>
      </c>
      <c r="K1089" s="3" t="s">
        <v>23</v>
      </c>
    </row>
    <row r="1090" spans="1:11" ht="42" customHeight="1">
      <c r="A1090" s="2" t="s">
        <v>2798</v>
      </c>
      <c r="B1090" s="2" t="s">
        <v>2799</v>
      </c>
      <c r="C1090" s="2" t="s">
        <v>36</v>
      </c>
      <c r="D1090" s="2" t="s">
        <v>37</v>
      </c>
      <c r="E1090" s="5">
        <v>-30104</v>
      </c>
      <c r="F1090" s="3" t="s">
        <v>856</v>
      </c>
      <c r="G1090" s="3" t="s">
        <v>39</v>
      </c>
      <c r="H1090" s="2" t="s">
        <v>21</v>
      </c>
      <c r="I1090" s="2" t="s">
        <v>2800</v>
      </c>
      <c r="J1090" s="3" t="str">
        <f>HYPERLINK("https://www.boe.es/gazeta/dias/1817/07/29/pdfs/GMD-1817-90.pdf#page=5","Abrir facsímil")</f>
        <v>Abrir facsímil</v>
      </c>
      <c r="K1090" s="3" t="s">
        <v>23</v>
      </c>
    </row>
    <row r="1091" spans="1:11" ht="42" customHeight="1">
      <c r="A1091" s="2" t="s">
        <v>2801</v>
      </c>
      <c r="B1091" s="2" t="s">
        <v>2802</v>
      </c>
      <c r="C1091" s="2" t="s">
        <v>36</v>
      </c>
      <c r="D1091" s="2" t="s">
        <v>37</v>
      </c>
      <c r="E1091" s="5">
        <v>-30055</v>
      </c>
      <c r="F1091" s="3" t="s">
        <v>71</v>
      </c>
      <c r="G1091" s="3" t="s">
        <v>314</v>
      </c>
      <c r="H1091" s="2" t="s">
        <v>21</v>
      </c>
      <c r="I1091" s="2" t="s">
        <v>2803</v>
      </c>
      <c r="J1091" s="3" t="str">
        <f>HYPERLINK("https://www.boe.es/gazeta/dias/1817/09/16/pdfs/GMD-1817-111.pdf#page=10","Abrir facsímil")</f>
        <v>Abrir facsímil</v>
      </c>
      <c r="K1091" s="3" t="s">
        <v>23</v>
      </c>
    </row>
    <row r="1092" spans="1:11" ht="42" customHeight="1">
      <c r="A1092" s="2" t="s">
        <v>2804</v>
      </c>
      <c r="B1092" s="2" t="s">
        <v>2805</v>
      </c>
      <c r="C1092" s="2" t="s">
        <v>43</v>
      </c>
      <c r="D1092" s="2" t="s">
        <v>44</v>
      </c>
      <c r="E1092" s="5">
        <v>-30286</v>
      </c>
      <c r="F1092" s="3" t="s">
        <v>354</v>
      </c>
      <c r="G1092" s="3" t="s">
        <v>1580</v>
      </c>
      <c r="H1092" s="2" t="s">
        <v>21</v>
      </c>
      <c r="I1092" s="2" t="s">
        <v>2806</v>
      </c>
      <c r="J1092" s="3" t="str">
        <f>HYPERLINK("https://www.boe.es/gazeta/dias/1817/01/28/pdfs/GMD-1817-12.pdf#page=5","Abrir facsímil")</f>
        <v>Abrir facsímil</v>
      </c>
      <c r="K1092" s="3" t="s">
        <v>23</v>
      </c>
    </row>
    <row r="1093" spans="1:11" ht="42" customHeight="1">
      <c r="A1093" s="2" t="s">
        <v>2807</v>
      </c>
      <c r="B1093" s="2" t="s">
        <v>2808</v>
      </c>
      <c r="C1093" s="2" t="s">
        <v>36</v>
      </c>
      <c r="D1093" s="2" t="s">
        <v>37</v>
      </c>
      <c r="E1093" s="5">
        <v>-30216</v>
      </c>
      <c r="F1093" s="3" t="s">
        <v>344</v>
      </c>
      <c r="G1093" s="3" t="s">
        <v>2809</v>
      </c>
      <c r="H1093" s="2" t="s">
        <v>27</v>
      </c>
      <c r="I1093" s="2" t="s">
        <v>2810</v>
      </c>
      <c r="J1093" s="3" t="str">
        <f>HYPERLINK("https://www.boe.es/gazeta/dias/1817/04/08/pdfs/GMD-1817-42.pdf#page=6","Abrir facsímil")</f>
        <v>Abrir facsímil</v>
      </c>
      <c r="K1093" s="3" t="s">
        <v>29</v>
      </c>
    </row>
    <row r="1094" spans="1:11" ht="42" customHeight="1">
      <c r="A1094" s="2" t="s">
        <v>2811</v>
      </c>
      <c r="B1094" s="2" t="s">
        <v>2812</v>
      </c>
      <c r="C1094" s="2" t="s">
        <v>43</v>
      </c>
      <c r="D1094" s="2" t="s">
        <v>44</v>
      </c>
      <c r="E1094" s="5">
        <v>-30310</v>
      </c>
      <c r="F1094" s="3" t="s">
        <v>93</v>
      </c>
      <c r="G1094" s="3" t="s">
        <v>57</v>
      </c>
      <c r="H1094" s="2" t="s">
        <v>27</v>
      </c>
      <c r="I1094" s="2" t="s">
        <v>2813</v>
      </c>
      <c r="J1094" s="3" t="str">
        <f>HYPERLINK("https://www.boe.es/gazeta/dias/1817/01/04/pdfs/GMD-1817-2.pdf#page=6","Abrir facsímil")</f>
        <v>Abrir facsímil</v>
      </c>
      <c r="K1094" s="3" t="s">
        <v>29</v>
      </c>
    </row>
    <row r="1095" spans="1:11" ht="42" customHeight="1">
      <c r="A1095" s="2" t="s">
        <v>2814</v>
      </c>
      <c r="B1095" s="2" t="s">
        <v>2815</v>
      </c>
      <c r="C1095" s="2" t="s">
        <v>43</v>
      </c>
      <c r="D1095" s="2" t="s">
        <v>44</v>
      </c>
      <c r="E1095" s="5">
        <v>-30261</v>
      </c>
      <c r="F1095" s="3" t="s">
        <v>226</v>
      </c>
      <c r="G1095" s="3" t="s">
        <v>20</v>
      </c>
      <c r="H1095" s="2" t="s">
        <v>21</v>
      </c>
      <c r="I1095" s="2" t="s">
        <v>2816</v>
      </c>
      <c r="J1095" s="3" t="str">
        <f>HYPERLINK("https://www.boe.es/gazeta/dias/1817/02/22/pdfs/GMD-1817-23.pdf#page=7","Abrir facsímil")</f>
        <v>Abrir facsímil</v>
      </c>
      <c r="K1095" s="3" t="s">
        <v>23</v>
      </c>
    </row>
    <row r="1096" spans="1:11" ht="42" customHeight="1">
      <c r="A1096" s="2" t="s">
        <v>2817</v>
      </c>
      <c r="B1096" s="2" t="s">
        <v>2817</v>
      </c>
      <c r="C1096" s="2" t="s">
        <v>36</v>
      </c>
      <c r="D1096" s="2" t="s">
        <v>37</v>
      </c>
      <c r="E1096" s="5">
        <v>-30149</v>
      </c>
      <c r="F1096" s="3" t="s">
        <v>430</v>
      </c>
      <c r="G1096" s="3" t="s">
        <v>57</v>
      </c>
      <c r="H1096" s="2" t="s">
        <v>21</v>
      </c>
      <c r="I1096" s="2" t="s">
        <v>2818</v>
      </c>
      <c r="J1096" s="3" t="str">
        <f>HYPERLINK("https://www.boe.es/gazeta/dias/1817/06/14/pdfs/GMD-1817-71.pdf#page=6","Abrir facsímil")</f>
        <v>Abrir facsímil</v>
      </c>
      <c r="K1096" s="3" t="s">
        <v>23</v>
      </c>
    </row>
    <row r="1097" spans="1:11" ht="42" customHeight="1">
      <c r="A1097" s="2" t="s">
        <v>2819</v>
      </c>
      <c r="B1097" s="2" t="s">
        <v>2820</v>
      </c>
      <c r="C1097" s="2" t="s">
        <v>36</v>
      </c>
      <c r="D1097" s="2" t="s">
        <v>37</v>
      </c>
      <c r="E1097" s="5">
        <v>-30298</v>
      </c>
      <c r="F1097" s="3" t="s">
        <v>489</v>
      </c>
      <c r="G1097" s="3" t="s">
        <v>644</v>
      </c>
      <c r="H1097" s="2" t="s">
        <v>27</v>
      </c>
      <c r="I1097" s="2" t="s">
        <v>2821</v>
      </c>
      <c r="J1097" s="3" t="str">
        <f>HYPERLINK("https://www.boe.es/gazeta/dias/1817/01/16/pdfs/GMD-1817-7.pdf#page=5","Abrir facsímil")</f>
        <v>Abrir facsímil</v>
      </c>
      <c r="K1097" s="3" t="s">
        <v>29</v>
      </c>
    </row>
    <row r="1098" spans="1:11" ht="42" customHeight="1">
      <c r="A1098" s="2" t="s">
        <v>2822</v>
      </c>
      <c r="B1098" s="2" t="s">
        <v>2823</v>
      </c>
      <c r="C1098" s="2" t="s">
        <v>36</v>
      </c>
      <c r="D1098" s="2" t="s">
        <v>37</v>
      </c>
      <c r="E1098" s="5">
        <v>-30149</v>
      </c>
      <c r="F1098" s="3" t="s">
        <v>430</v>
      </c>
      <c r="G1098" s="3" t="s">
        <v>20</v>
      </c>
      <c r="H1098" s="2" t="s">
        <v>21</v>
      </c>
      <c r="I1098" s="2" t="s">
        <v>2824</v>
      </c>
      <c r="J1098" s="3" t="str">
        <f>HYPERLINK("https://www.boe.es/gazeta/dias/1817/06/14/pdfs/GMD-1817-71.pdf#page=7","Abrir facsímil")</f>
        <v>Abrir facsímil</v>
      </c>
      <c r="K1098" s="3" t="s">
        <v>23</v>
      </c>
    </row>
    <row r="1099" spans="1:11" ht="42" customHeight="1">
      <c r="A1099" s="2" t="s">
        <v>2825</v>
      </c>
      <c r="B1099" s="2" t="s">
        <v>2826</v>
      </c>
      <c r="C1099" s="2" t="s">
        <v>97</v>
      </c>
      <c r="D1099" s="2" t="s">
        <v>44</v>
      </c>
      <c r="E1099" s="5">
        <v>-30282</v>
      </c>
      <c r="F1099" s="3" t="s">
        <v>1049</v>
      </c>
      <c r="G1099" s="3" t="s">
        <v>2827</v>
      </c>
      <c r="H1099" s="2" t="s">
        <v>21</v>
      </c>
      <c r="I1099" s="2" t="s">
        <v>2828</v>
      </c>
      <c r="J1099" s="3" t="str">
        <f>HYPERLINK("https://www.boe.es/gazeta/dias/1817/02/01/pdfs/GMD-1817-14.pdf#page=8","Abrir facsímil")</f>
        <v>Abrir facsímil</v>
      </c>
      <c r="K1099" s="3" t="s">
        <v>23</v>
      </c>
    </row>
    <row r="1100" spans="1:11" ht="42" customHeight="1">
      <c r="A1100" s="2" t="s">
        <v>2829</v>
      </c>
      <c r="B1100" s="2" t="s">
        <v>2830</v>
      </c>
      <c r="C1100" s="2" t="s">
        <v>36</v>
      </c>
      <c r="D1100" s="2" t="s">
        <v>37</v>
      </c>
      <c r="E1100" s="5">
        <v>-30109</v>
      </c>
      <c r="F1100" s="3" t="s">
        <v>205</v>
      </c>
      <c r="G1100" s="3" t="s">
        <v>2831</v>
      </c>
      <c r="H1100" s="2" t="s">
        <v>21</v>
      </c>
      <c r="I1100" s="2" t="s">
        <v>2832</v>
      </c>
      <c r="J1100" s="3" t="str">
        <f>HYPERLINK("https://www.boe.es/gazeta/dias/1817/07/24/pdfs/GMD-1817-88.pdf#page=8","Abrir facsímil")</f>
        <v>Abrir facsímil</v>
      </c>
      <c r="K1100" s="3" t="s">
        <v>23</v>
      </c>
    </row>
    <row r="1101" spans="1:11" ht="42" customHeight="1">
      <c r="A1101" s="2" t="s">
        <v>2833</v>
      </c>
      <c r="B1101" s="2" t="s">
        <v>2834</v>
      </c>
      <c r="C1101" s="2" t="s">
        <v>49</v>
      </c>
      <c r="D1101" s="2" t="s">
        <v>44</v>
      </c>
      <c r="E1101" s="5">
        <v>-30039</v>
      </c>
      <c r="F1101" s="3" t="s">
        <v>558</v>
      </c>
      <c r="G1101" s="3" t="s">
        <v>20</v>
      </c>
      <c r="H1101" s="2" t="s">
        <v>21</v>
      </c>
      <c r="I1101" s="2" t="s">
        <v>2835</v>
      </c>
      <c r="J1101" s="3" t="str">
        <f>HYPERLINK("https://www.boe.es/gazeta/dias/1817/10/02/pdfs/GMD-1817-118.pdf#page=7","Abrir facsímil")</f>
        <v>Abrir facsímil</v>
      </c>
      <c r="K1101" s="3" t="s">
        <v>23</v>
      </c>
    </row>
    <row r="1102" spans="1:11" ht="42" customHeight="1">
      <c r="A1102" s="2" t="s">
        <v>2833</v>
      </c>
      <c r="B1102" s="2" t="s">
        <v>2834</v>
      </c>
      <c r="C1102" s="2" t="s">
        <v>49</v>
      </c>
      <c r="D1102" s="2" t="s">
        <v>44</v>
      </c>
      <c r="E1102" s="5">
        <v>-30006</v>
      </c>
      <c r="F1102" s="3" t="s">
        <v>210</v>
      </c>
      <c r="G1102" s="3" t="s">
        <v>77</v>
      </c>
      <c r="H1102" s="2" t="s">
        <v>21</v>
      </c>
      <c r="I1102" s="2" t="s">
        <v>2836</v>
      </c>
      <c r="J1102" s="3" t="str">
        <f>HYPERLINK("https://www.boe.es/gazeta/dias/1817/11/04/pdfs/GMD-1817-132.pdf#page=8","Abrir facsímil")</f>
        <v>Abrir facsímil</v>
      </c>
      <c r="K1102" s="3" t="s">
        <v>23</v>
      </c>
    </row>
    <row r="1103" spans="1:11" ht="42" customHeight="1">
      <c r="A1103" s="2" t="s">
        <v>2837</v>
      </c>
      <c r="B1103" s="2" t="s">
        <v>2838</v>
      </c>
      <c r="C1103" s="2" t="s">
        <v>36</v>
      </c>
      <c r="D1103" s="2" t="s">
        <v>37</v>
      </c>
      <c r="E1103" s="5">
        <v>-30053</v>
      </c>
      <c r="F1103" s="3" t="s">
        <v>129</v>
      </c>
      <c r="G1103" s="3" t="s">
        <v>112</v>
      </c>
      <c r="H1103" s="2" t="s">
        <v>21</v>
      </c>
      <c r="I1103" s="2" t="s">
        <v>2839</v>
      </c>
      <c r="J1103" s="3" t="str">
        <f>HYPERLINK("https://www.boe.es/gazeta/dias/1817/09/18/pdfs/GMD-1817-112.pdf#page=11","Abrir facsímil")</f>
        <v>Abrir facsímil</v>
      </c>
      <c r="K1103" s="3" t="s">
        <v>23</v>
      </c>
    </row>
    <row r="1104" spans="1:11" ht="42" customHeight="1">
      <c r="A1104" s="2" t="s">
        <v>2840</v>
      </c>
      <c r="B1104" s="2" t="s">
        <v>2840</v>
      </c>
      <c r="C1104" s="2" t="s">
        <v>36</v>
      </c>
      <c r="D1104" s="2" t="s">
        <v>37</v>
      </c>
      <c r="E1104" s="5">
        <v>-30156</v>
      </c>
      <c r="F1104" s="3" t="s">
        <v>635</v>
      </c>
      <c r="G1104" s="3" t="s">
        <v>57</v>
      </c>
      <c r="H1104" s="2" t="s">
        <v>21</v>
      </c>
      <c r="I1104" s="2" t="s">
        <v>2841</v>
      </c>
      <c r="J1104" s="3" t="str">
        <f>HYPERLINK("https://www.boe.es/gazeta/dias/1817/06/07/pdfs/GMD-1817-68.pdf#page=6","Abrir facsímil")</f>
        <v>Abrir facsímil</v>
      </c>
      <c r="K1104" s="3" t="s">
        <v>23</v>
      </c>
    </row>
    <row r="1105" spans="1:11" ht="42" customHeight="1">
      <c r="A1105" s="2" t="s">
        <v>2842</v>
      </c>
      <c r="B1105" s="2" t="s">
        <v>2843</v>
      </c>
      <c r="C1105" s="2" t="s">
        <v>36</v>
      </c>
      <c r="D1105" s="2" t="s">
        <v>37</v>
      </c>
      <c r="E1105" s="5">
        <v>-30156</v>
      </c>
      <c r="F1105" s="3" t="s">
        <v>635</v>
      </c>
      <c r="G1105" s="3" t="s">
        <v>2844</v>
      </c>
      <c r="H1105" s="2" t="s">
        <v>21</v>
      </c>
      <c r="I1105" s="2" t="s">
        <v>2845</v>
      </c>
      <c r="J1105" s="3" t="str">
        <f>HYPERLINK("https://www.boe.es/gazeta/dias/1817/06/07/pdfs/GMD-1817-68.pdf#page=7","Abrir facsímil")</f>
        <v>Abrir facsímil</v>
      </c>
      <c r="K1105" s="3" t="s">
        <v>23</v>
      </c>
    </row>
    <row r="1106" spans="1:11" ht="42" customHeight="1">
      <c r="A1106" s="2" t="s">
        <v>2842</v>
      </c>
      <c r="B1106" s="2" t="s">
        <v>2843</v>
      </c>
      <c r="C1106" s="2" t="s">
        <v>36</v>
      </c>
      <c r="D1106" s="2" t="s">
        <v>37</v>
      </c>
      <c r="E1106" s="5">
        <v>-30156</v>
      </c>
      <c r="F1106" s="3" t="s">
        <v>635</v>
      </c>
      <c r="G1106" s="3" t="s">
        <v>39</v>
      </c>
      <c r="H1106" s="2" t="s">
        <v>21</v>
      </c>
      <c r="I1106" s="2" t="s">
        <v>2846</v>
      </c>
      <c r="J1106" s="3" t="str">
        <f>HYPERLINK("https://www.boe.es/gazeta/dias/1817/06/07/pdfs/GMD-1817-68.pdf#page=5","Abrir facsímil")</f>
        <v>Abrir facsímil</v>
      </c>
      <c r="K1106" s="3" t="s">
        <v>23</v>
      </c>
    </row>
    <row r="1107" spans="1:11" ht="42" customHeight="1">
      <c r="A1107" s="2" t="s">
        <v>2842</v>
      </c>
      <c r="B1107" s="2" t="s">
        <v>2843</v>
      </c>
      <c r="C1107" s="2" t="s">
        <v>36</v>
      </c>
      <c r="D1107" s="2" t="s">
        <v>37</v>
      </c>
      <c r="E1107" s="5">
        <v>-30156</v>
      </c>
      <c r="F1107" s="3" t="s">
        <v>635</v>
      </c>
      <c r="G1107" s="3" t="s">
        <v>57</v>
      </c>
      <c r="H1107" s="2" t="s">
        <v>21</v>
      </c>
      <c r="I1107" s="2" t="s">
        <v>2847</v>
      </c>
      <c r="J1107" s="3" t="str">
        <f>HYPERLINK("https://www.boe.es/gazeta/dias/1817/06/07/pdfs/GMD-1817-68.pdf#page=6","Abrir facsímil")</f>
        <v>Abrir facsímil</v>
      </c>
      <c r="K1107" s="3" t="s">
        <v>23</v>
      </c>
    </row>
    <row r="1108" spans="1:11" ht="42" customHeight="1">
      <c r="A1108" s="2" t="s">
        <v>2848</v>
      </c>
      <c r="B1108" s="2" t="s">
        <v>2849</v>
      </c>
      <c r="C1108" s="2" t="s">
        <v>36</v>
      </c>
      <c r="D1108" s="2" t="s">
        <v>37</v>
      </c>
      <c r="E1108" s="5">
        <v>-29960</v>
      </c>
      <c r="F1108" s="3" t="s">
        <v>657</v>
      </c>
      <c r="G1108" s="3" t="s">
        <v>144</v>
      </c>
      <c r="H1108" s="2" t="s">
        <v>21</v>
      </c>
      <c r="I1108" s="2" t="s">
        <v>2850</v>
      </c>
      <c r="J1108" s="3" t="str">
        <f>HYPERLINK("https://www.boe.es/gazeta/dias/1817/12/20/pdfs/GMD-1817-152.pdf#page=4","Abrir facsímil")</f>
        <v>Abrir facsímil</v>
      </c>
      <c r="K1108" s="3" t="s">
        <v>23</v>
      </c>
    </row>
    <row r="1109" spans="1:11" ht="42" customHeight="1">
      <c r="A1109" s="2" t="s">
        <v>2851</v>
      </c>
      <c r="B1109" s="2" t="s">
        <v>2852</v>
      </c>
      <c r="C1109" s="2" t="s">
        <v>36</v>
      </c>
      <c r="D1109" s="2" t="s">
        <v>37</v>
      </c>
      <c r="E1109" s="5">
        <v>-30135</v>
      </c>
      <c r="F1109" s="3" t="s">
        <v>239</v>
      </c>
      <c r="G1109" s="3" t="s">
        <v>2853</v>
      </c>
      <c r="H1109" s="2" t="s">
        <v>21</v>
      </c>
      <c r="I1109" s="2" t="s">
        <v>2854</v>
      </c>
      <c r="J1109" s="3" t="str">
        <f>HYPERLINK("https://www.boe.es/gazeta/dias/1817/06/28/pdfs/GMD-1817-77.pdf#page=6","Abrir facsímil")</f>
        <v>Abrir facsímil</v>
      </c>
      <c r="K1109" s="3" t="s">
        <v>23</v>
      </c>
    </row>
    <row r="1110" spans="1:11" ht="42" customHeight="1">
      <c r="A1110" s="2" t="s">
        <v>2855</v>
      </c>
      <c r="B1110" s="2" t="s">
        <v>2856</v>
      </c>
      <c r="C1110" s="2" t="s">
        <v>43</v>
      </c>
      <c r="D1110" s="2" t="s">
        <v>44</v>
      </c>
      <c r="E1110" s="5">
        <v>-30023</v>
      </c>
      <c r="F1110" s="3" t="s">
        <v>460</v>
      </c>
      <c r="G1110" s="3" t="s">
        <v>39</v>
      </c>
      <c r="H1110" s="2" t="s">
        <v>27</v>
      </c>
      <c r="I1110" s="2" t="s">
        <v>2857</v>
      </c>
      <c r="J1110" s="3" t="str">
        <f>HYPERLINK("https://www.boe.es/gazeta/dias/1817/10/18/pdfs/GMD-1817-125.pdf#page=5","Abrir facsímil")</f>
        <v>Abrir facsímil</v>
      </c>
      <c r="K1110" s="3" t="s">
        <v>29</v>
      </c>
    </row>
    <row r="1111" spans="1:11" ht="42" customHeight="1">
      <c r="A1111" s="2" t="s">
        <v>2858</v>
      </c>
      <c r="B1111" s="2" t="s">
        <v>2859</v>
      </c>
      <c r="C1111" s="2" t="s">
        <v>55</v>
      </c>
      <c r="D1111" s="2" t="s">
        <v>44</v>
      </c>
      <c r="E1111" s="5">
        <v>-30209</v>
      </c>
      <c r="F1111" s="3" t="s">
        <v>1478</v>
      </c>
      <c r="G1111" s="3" t="s">
        <v>77</v>
      </c>
      <c r="H1111" s="2" t="s">
        <v>21</v>
      </c>
      <c r="I1111" s="2" t="s">
        <v>2860</v>
      </c>
      <c r="J1111" s="3" t="str">
        <f>HYPERLINK("https://www.boe.es/gazeta/dias/1817/04/15/pdfs/GMD-1817-45.pdf#page=8","Abrir facsímil")</f>
        <v>Abrir facsímil</v>
      </c>
      <c r="K1111" s="3" t="s">
        <v>23</v>
      </c>
    </row>
    <row r="1112" spans="1:11" ht="42" customHeight="1">
      <c r="A1112" s="2" t="s">
        <v>2861</v>
      </c>
      <c r="B1112" s="2" t="s">
        <v>2862</v>
      </c>
      <c r="C1112" s="2" t="s">
        <v>49</v>
      </c>
      <c r="D1112" s="2" t="s">
        <v>44</v>
      </c>
      <c r="E1112" s="5">
        <v>-30002</v>
      </c>
      <c r="F1112" s="3" t="s">
        <v>469</v>
      </c>
      <c r="G1112" s="3" t="s">
        <v>77</v>
      </c>
      <c r="H1112" s="2" t="s">
        <v>21</v>
      </c>
      <c r="I1112" s="2" t="s">
        <v>2863</v>
      </c>
      <c r="J1112" s="3" t="str">
        <f>HYPERLINK("https://www.boe.es/gazeta/dias/1817/11/08/pdfs/GMD-1817-134.pdf#page=8","Abrir facsímil")</f>
        <v>Abrir facsímil</v>
      </c>
      <c r="K1112" s="3" t="s">
        <v>23</v>
      </c>
    </row>
    <row r="1113" spans="1:11" ht="42" customHeight="1">
      <c r="A1113" s="2" t="s">
        <v>2864</v>
      </c>
      <c r="B1113" s="2" t="s">
        <v>2865</v>
      </c>
      <c r="C1113" s="2" t="s">
        <v>36</v>
      </c>
      <c r="D1113" s="2" t="s">
        <v>37</v>
      </c>
      <c r="E1113" s="5">
        <v>-29983</v>
      </c>
      <c r="F1113" s="3" t="s">
        <v>148</v>
      </c>
      <c r="G1113" s="3" t="s">
        <v>551</v>
      </c>
      <c r="H1113" s="2" t="s">
        <v>21</v>
      </c>
      <c r="I1113" s="2" t="s">
        <v>2866</v>
      </c>
      <c r="J1113" s="3" t="str">
        <f>HYPERLINK("https://www.boe.es/gazeta/dias/1817/11/27/pdfs/GMD-1817-142.pdf#page=3","Abrir facsímil")</f>
        <v>Abrir facsímil</v>
      </c>
      <c r="K1113" s="3" t="s">
        <v>23</v>
      </c>
    </row>
    <row r="1114" spans="1:11" ht="42" customHeight="1">
      <c r="A1114" s="2" t="s">
        <v>2867</v>
      </c>
      <c r="B1114" s="2" t="s">
        <v>2868</v>
      </c>
      <c r="C1114" s="2" t="s">
        <v>55</v>
      </c>
      <c r="D1114" s="2" t="s">
        <v>44</v>
      </c>
      <c r="E1114" s="5">
        <v>-30188</v>
      </c>
      <c r="F1114" s="3" t="s">
        <v>177</v>
      </c>
      <c r="G1114" s="3" t="s">
        <v>77</v>
      </c>
      <c r="H1114" s="2" t="s">
        <v>21</v>
      </c>
      <c r="I1114" s="2" t="s">
        <v>2869</v>
      </c>
      <c r="J1114" s="3" t="str">
        <f>HYPERLINK("https://www.boe.es/gazeta/dias/1817/05/06/pdfs/GMD-1817-54.pdf#page=8","Abrir facsímil")</f>
        <v>Abrir facsímil</v>
      </c>
      <c r="K1114" s="3" t="s">
        <v>23</v>
      </c>
    </row>
    <row r="1115" spans="1:11" ht="42" customHeight="1">
      <c r="A1115" s="2" t="s">
        <v>2870</v>
      </c>
      <c r="B1115" s="2" t="s">
        <v>2871</v>
      </c>
      <c r="C1115" s="2" t="s">
        <v>36</v>
      </c>
      <c r="D1115" s="2" t="s">
        <v>37</v>
      </c>
      <c r="E1115" s="5">
        <v>-30289</v>
      </c>
      <c r="F1115" s="3" t="s">
        <v>193</v>
      </c>
      <c r="G1115" s="3" t="s">
        <v>77</v>
      </c>
      <c r="H1115" s="2" t="s">
        <v>21</v>
      </c>
      <c r="I1115" s="2" t="s">
        <v>2872</v>
      </c>
      <c r="J1115" s="3" t="str">
        <f>HYPERLINK("https://www.boe.es/gazeta/dias/1817/01/25/pdfs/GMD-1817-11.pdf#page=8","Abrir facsímil")</f>
        <v>Abrir facsímil</v>
      </c>
      <c r="K1115" s="3" t="s">
        <v>23</v>
      </c>
    </row>
    <row r="1116" spans="1:11" ht="42" customHeight="1">
      <c r="A1116" s="2" t="s">
        <v>2873</v>
      </c>
      <c r="B1116" s="2" t="s">
        <v>2874</v>
      </c>
      <c r="C1116" s="2" t="s">
        <v>55</v>
      </c>
      <c r="D1116" s="2" t="s">
        <v>44</v>
      </c>
      <c r="E1116" s="5">
        <v>-30254</v>
      </c>
      <c r="F1116" s="3" t="s">
        <v>124</v>
      </c>
      <c r="G1116" s="3" t="s">
        <v>125</v>
      </c>
      <c r="H1116" s="2" t="s">
        <v>21</v>
      </c>
      <c r="I1116" s="2" t="s">
        <v>2875</v>
      </c>
      <c r="J1116" s="3" t="str">
        <f>HYPERLINK("https://www.boe.es/gazeta/dias/1817/03/01/pdfs/GMD-1817-26.pdf#page=5","Abrir facsímil")</f>
        <v>Abrir facsímil</v>
      </c>
      <c r="K1116" s="3" t="s">
        <v>23</v>
      </c>
    </row>
    <row r="1117" spans="1:11" ht="42" customHeight="1">
      <c r="A1117" s="2" t="s">
        <v>2876</v>
      </c>
      <c r="B1117" s="2" t="s">
        <v>2877</v>
      </c>
      <c r="C1117" s="2" t="s">
        <v>43</v>
      </c>
      <c r="D1117" s="2" t="s">
        <v>44</v>
      </c>
      <c r="E1117" s="5">
        <v>-30013</v>
      </c>
      <c r="F1117" s="3" t="s">
        <v>464</v>
      </c>
      <c r="G1117" s="3" t="s">
        <v>39</v>
      </c>
      <c r="H1117" s="2" t="s">
        <v>21</v>
      </c>
      <c r="I1117" s="2" t="s">
        <v>2878</v>
      </c>
      <c r="J1117" s="3" t="str">
        <f>HYPERLINK("https://www.boe.es/gazeta/dias/1817/10/28/pdfs/GMD-1817-129.pdf#page=5","Abrir facsímil")</f>
        <v>Abrir facsímil</v>
      </c>
      <c r="K1117" s="3" t="s">
        <v>23</v>
      </c>
    </row>
    <row r="1118" spans="1:11" ht="42" customHeight="1">
      <c r="A1118" s="2" t="s">
        <v>2879</v>
      </c>
      <c r="B1118" s="2" t="s">
        <v>2880</v>
      </c>
      <c r="C1118" s="2" t="s">
        <v>36</v>
      </c>
      <c r="D1118" s="2" t="s">
        <v>37</v>
      </c>
      <c r="E1118" s="5">
        <v>-30198</v>
      </c>
      <c r="F1118" s="3" t="s">
        <v>2185</v>
      </c>
      <c r="G1118" s="3" t="s">
        <v>57</v>
      </c>
      <c r="H1118" s="2" t="s">
        <v>27</v>
      </c>
      <c r="I1118" s="2" t="s">
        <v>2881</v>
      </c>
      <c r="J1118" s="3" t="str">
        <f>HYPERLINK("https://www.boe.es/gazeta/dias/1817/04/26/pdfs/GMD-1817-50.pdf#page=6","Abrir facsímil")</f>
        <v>Abrir facsímil</v>
      </c>
      <c r="K1118" s="3" t="s">
        <v>29</v>
      </c>
    </row>
    <row r="1119" spans="1:11" ht="42" customHeight="1">
      <c r="A1119" s="2" t="s">
        <v>2882</v>
      </c>
      <c r="B1119" s="2" t="s">
        <v>2883</v>
      </c>
      <c r="C1119" s="2" t="s">
        <v>49</v>
      </c>
      <c r="D1119" s="2" t="s">
        <v>44</v>
      </c>
      <c r="E1119" s="5">
        <v>-30179</v>
      </c>
      <c r="F1119" s="3" t="s">
        <v>391</v>
      </c>
      <c r="G1119" s="3" t="s">
        <v>20</v>
      </c>
      <c r="H1119" s="2" t="s">
        <v>27</v>
      </c>
      <c r="I1119" s="2" t="s">
        <v>2884</v>
      </c>
      <c r="J1119" s="3" t="str">
        <f>HYPERLINK("https://www.boe.es/gazeta/dias/1817/05/15/pdfs/GMD-1817-58.pdf#page=7","Abrir facsímil")</f>
        <v>Abrir facsímil</v>
      </c>
      <c r="K1119" s="3" t="s">
        <v>29</v>
      </c>
    </row>
    <row r="1120" spans="1:11" ht="42" customHeight="1">
      <c r="A1120" s="2" t="s">
        <v>2885</v>
      </c>
      <c r="B1120" s="2" t="s">
        <v>2885</v>
      </c>
      <c r="C1120" s="2" t="s">
        <v>17</v>
      </c>
      <c r="D1120" s="2" t="s">
        <v>18</v>
      </c>
      <c r="E1120" s="5">
        <v>-30186</v>
      </c>
      <c r="F1120" s="3" t="s">
        <v>2003</v>
      </c>
      <c r="G1120" s="3" t="s">
        <v>2886</v>
      </c>
      <c r="H1120" s="2" t="s">
        <v>21</v>
      </c>
      <c r="I1120" s="2" t="s">
        <v>2887</v>
      </c>
      <c r="J1120" s="3" t="str">
        <f>HYPERLINK("https://www.boe.es/gazeta/dias/1817/05/08/pdfs/GMD-1817-55.pdf#page=6","Abrir facsímil")</f>
        <v>Abrir facsímil</v>
      </c>
      <c r="K1120" s="3" t="s">
        <v>23</v>
      </c>
    </row>
    <row r="1121" spans="1:11" ht="42" customHeight="1">
      <c r="A1121" s="2" t="s">
        <v>2885</v>
      </c>
      <c r="B1121" s="2" t="s">
        <v>2885</v>
      </c>
      <c r="C1121" s="2" t="s">
        <v>17</v>
      </c>
      <c r="D1121" s="2" t="s">
        <v>18</v>
      </c>
      <c r="E1121" s="5">
        <v>-29974</v>
      </c>
      <c r="F1121" s="3" t="s">
        <v>32</v>
      </c>
      <c r="G1121" s="3" t="s">
        <v>20</v>
      </c>
      <c r="H1121" s="2" t="s">
        <v>21</v>
      </c>
      <c r="I1121" s="2" t="s">
        <v>2888</v>
      </c>
      <c r="J1121" s="3" t="str">
        <f>HYPERLINK("https://www.boe.es/gazeta/dias/1817/12/06/pdfs/GMD-1817-146.pdf#page=7","Abrir facsímil")</f>
        <v>Abrir facsímil</v>
      </c>
      <c r="K1121" s="3" t="s">
        <v>23</v>
      </c>
    </row>
    <row r="1122" spans="1:11" ht="42" customHeight="1">
      <c r="A1122" s="2" t="s">
        <v>2889</v>
      </c>
      <c r="B1122" s="2" t="s">
        <v>2889</v>
      </c>
      <c r="C1122" s="2" t="s">
        <v>17</v>
      </c>
      <c r="D1122" s="2" t="s">
        <v>18</v>
      </c>
      <c r="E1122" s="5">
        <v>-30002</v>
      </c>
      <c r="F1122" s="3" t="s">
        <v>469</v>
      </c>
      <c r="G1122" s="3" t="s">
        <v>77</v>
      </c>
      <c r="H1122" s="2" t="s">
        <v>21</v>
      </c>
      <c r="I1122" s="2" t="s">
        <v>2890</v>
      </c>
      <c r="J1122" s="3" t="str">
        <f>HYPERLINK("https://www.boe.es/gazeta/dias/1817/11/08/pdfs/GMD-1817-134.pdf#page=8","Abrir facsímil")</f>
        <v>Abrir facsímil</v>
      </c>
      <c r="K1122" s="3" t="s">
        <v>23</v>
      </c>
    </row>
    <row r="1123" spans="1:11" ht="42" customHeight="1">
      <c r="A1123" s="2" t="s">
        <v>2891</v>
      </c>
      <c r="B1123" s="2" t="s">
        <v>2892</v>
      </c>
      <c r="C1123" s="2" t="s">
        <v>17</v>
      </c>
      <c r="D1123" s="2" t="s">
        <v>18</v>
      </c>
      <c r="E1123" s="5">
        <v>-30097</v>
      </c>
      <c r="F1123" s="3" t="s">
        <v>156</v>
      </c>
      <c r="G1123" s="3" t="s">
        <v>157</v>
      </c>
      <c r="H1123" s="2" t="s">
        <v>27</v>
      </c>
      <c r="I1123" s="2" t="s">
        <v>2893</v>
      </c>
      <c r="J1123" s="3" t="str">
        <f>HYPERLINK("https://www.boe.es/gazeta/dias/1817/08/05/pdfs/GMD-1817-93.pdf#page=5","Abrir facsímil")</f>
        <v>Abrir facsímil</v>
      </c>
      <c r="K1123" s="3" t="s">
        <v>29</v>
      </c>
    </row>
    <row r="1124" spans="1:11" ht="42" customHeight="1">
      <c r="A1124" s="2" t="s">
        <v>2894</v>
      </c>
      <c r="B1124" s="2" t="s">
        <v>2895</v>
      </c>
      <c r="C1124" s="2" t="s">
        <v>36</v>
      </c>
      <c r="D1124" s="2" t="s">
        <v>37</v>
      </c>
      <c r="E1124" s="5">
        <v>-30296</v>
      </c>
      <c r="F1124" s="3" t="s">
        <v>357</v>
      </c>
      <c r="G1124" s="3" t="s">
        <v>39</v>
      </c>
      <c r="H1124" s="2" t="s">
        <v>21</v>
      </c>
      <c r="I1124" s="2" t="s">
        <v>2896</v>
      </c>
      <c r="J1124" s="3" t="str">
        <f>HYPERLINK("https://www.boe.es/gazeta/dias/1817/01/18/pdfs/GMD-1817-8.pdf#page=5","Abrir facsímil")</f>
        <v>Abrir facsímil</v>
      </c>
      <c r="K1124" s="3" t="s">
        <v>23</v>
      </c>
    </row>
    <row r="1125" spans="1:11" ht="42" customHeight="1">
      <c r="A1125" s="2" t="s">
        <v>2897</v>
      </c>
      <c r="B1125" s="2" t="s">
        <v>2898</v>
      </c>
      <c r="C1125" s="2" t="s">
        <v>36</v>
      </c>
      <c r="D1125" s="2" t="s">
        <v>37</v>
      </c>
      <c r="E1125" s="5">
        <v>-30296</v>
      </c>
      <c r="F1125" s="3" t="s">
        <v>357</v>
      </c>
      <c r="G1125" s="3" t="s">
        <v>20</v>
      </c>
      <c r="H1125" s="2" t="s">
        <v>21</v>
      </c>
      <c r="I1125" s="2" t="s">
        <v>2899</v>
      </c>
      <c r="J1125" s="3" t="str">
        <f>HYPERLINK("https://www.boe.es/gazeta/dias/1817/01/18/pdfs/GMD-1817-8.pdf#page=7","Abrir facsímil")</f>
        <v>Abrir facsímil</v>
      </c>
      <c r="K1125" s="3" t="s">
        <v>23</v>
      </c>
    </row>
    <row r="1126" spans="1:11" ht="42" customHeight="1">
      <c r="A1126" s="2" t="s">
        <v>2900</v>
      </c>
      <c r="B1126" s="2" t="s">
        <v>2901</v>
      </c>
      <c r="C1126" s="2" t="s">
        <v>43</v>
      </c>
      <c r="D1126" s="2" t="s">
        <v>44</v>
      </c>
      <c r="E1126" s="5">
        <v>-30286</v>
      </c>
      <c r="F1126" s="3" t="s">
        <v>354</v>
      </c>
      <c r="G1126" s="3" t="s">
        <v>57</v>
      </c>
      <c r="H1126" s="2" t="s">
        <v>21</v>
      </c>
      <c r="I1126" s="2" t="s">
        <v>2902</v>
      </c>
      <c r="J1126" s="3" t="str">
        <f>HYPERLINK("https://www.boe.es/gazeta/dias/1817/01/28/pdfs/GMD-1817-12.pdf#page=6","Abrir facsímil")</f>
        <v>Abrir facsímil</v>
      </c>
      <c r="K1126" s="3" t="s">
        <v>23</v>
      </c>
    </row>
    <row r="1127" spans="1:11" ht="42" customHeight="1">
      <c r="A1127" s="2" t="s">
        <v>2903</v>
      </c>
      <c r="B1127" s="2" t="s">
        <v>2904</v>
      </c>
      <c r="C1127" s="2" t="s">
        <v>43</v>
      </c>
      <c r="D1127" s="2" t="s">
        <v>44</v>
      </c>
      <c r="E1127" s="5">
        <v>-30125</v>
      </c>
      <c r="F1127" s="3" t="s">
        <v>102</v>
      </c>
      <c r="G1127" s="3" t="s">
        <v>144</v>
      </c>
      <c r="H1127" s="2" t="s">
        <v>21</v>
      </c>
      <c r="I1127" s="2" t="s">
        <v>2905</v>
      </c>
      <c r="J1127" s="3" t="str">
        <f>HYPERLINK("https://www.boe.es/gazeta/dias/1817/07/08/pdfs/GMD-1817-81.pdf#page=4","Abrir facsímil")</f>
        <v>Abrir facsímil</v>
      </c>
      <c r="K1127" s="3" t="s">
        <v>23</v>
      </c>
    </row>
    <row r="1128" spans="1:11" ht="42" customHeight="1">
      <c r="A1128" s="2" t="s">
        <v>2906</v>
      </c>
      <c r="B1128" s="2" t="s">
        <v>2907</v>
      </c>
      <c r="C1128" s="2" t="s">
        <v>43</v>
      </c>
      <c r="D1128" s="2" t="s">
        <v>44</v>
      </c>
      <c r="E1128" s="5">
        <v>-30289</v>
      </c>
      <c r="F1128" s="3" t="s">
        <v>193</v>
      </c>
      <c r="G1128" s="3" t="s">
        <v>144</v>
      </c>
      <c r="H1128" s="2" t="s">
        <v>21</v>
      </c>
      <c r="I1128" s="2" t="s">
        <v>2908</v>
      </c>
      <c r="J1128" s="3" t="str">
        <f>HYPERLINK("https://www.boe.es/gazeta/dias/1817/01/25/pdfs/GMD-1817-11.pdf#page=4","Abrir facsímil")</f>
        <v>Abrir facsímil</v>
      </c>
      <c r="K1128" s="3" t="s">
        <v>23</v>
      </c>
    </row>
    <row r="1129" spans="1:11" ht="42" customHeight="1">
      <c r="A1129" s="2" t="s">
        <v>2909</v>
      </c>
      <c r="B1129" s="2" t="s">
        <v>2910</v>
      </c>
      <c r="C1129" s="2" t="s">
        <v>36</v>
      </c>
      <c r="D1129" s="2" t="s">
        <v>37</v>
      </c>
      <c r="E1129" s="5">
        <v>-30230</v>
      </c>
      <c r="F1129" s="3" t="s">
        <v>189</v>
      </c>
      <c r="G1129" s="3" t="s">
        <v>2911</v>
      </c>
      <c r="H1129" s="2" t="s">
        <v>27</v>
      </c>
      <c r="I1129" s="2" t="s">
        <v>2912</v>
      </c>
      <c r="J1129" s="3" t="str">
        <f>HYPERLINK("https://www.boe.es/gazeta/dias/1817/03/25/pdfs/GMD-1817-36.pdf#page=6","Abrir facsímil")</f>
        <v>Abrir facsímil</v>
      </c>
      <c r="K1129" s="3" t="s">
        <v>29</v>
      </c>
    </row>
    <row r="1130" spans="1:11" ht="42" customHeight="1">
      <c r="A1130" s="2" t="s">
        <v>2913</v>
      </c>
      <c r="B1130" s="2" t="s">
        <v>2914</v>
      </c>
      <c r="C1130" s="2" t="s">
        <v>36</v>
      </c>
      <c r="D1130" s="2" t="s">
        <v>37</v>
      </c>
      <c r="E1130" s="5">
        <v>-30186</v>
      </c>
      <c r="F1130" s="3" t="s">
        <v>2003</v>
      </c>
      <c r="G1130" s="3" t="s">
        <v>77</v>
      </c>
      <c r="H1130" s="2" t="s">
        <v>21</v>
      </c>
      <c r="I1130" s="2" t="s">
        <v>2915</v>
      </c>
      <c r="J1130" s="3" t="str">
        <f>HYPERLINK("https://www.boe.es/gazeta/dias/1817/05/08/pdfs/GMD-1817-55.pdf#page=8","Abrir facsímil")</f>
        <v>Abrir facsímil</v>
      </c>
      <c r="K1130" s="3" t="s">
        <v>23</v>
      </c>
    </row>
    <row r="1131" spans="1:11" ht="42" customHeight="1">
      <c r="A1131" s="2" t="s">
        <v>2916</v>
      </c>
      <c r="B1131" s="2" t="s">
        <v>2917</v>
      </c>
      <c r="C1131" s="2" t="s">
        <v>97</v>
      </c>
      <c r="D1131" s="2" t="s">
        <v>44</v>
      </c>
      <c r="E1131" s="5">
        <v>-30186</v>
      </c>
      <c r="F1131" s="3" t="s">
        <v>2003</v>
      </c>
      <c r="G1131" s="3" t="s">
        <v>77</v>
      </c>
      <c r="H1131" s="2" t="s">
        <v>21</v>
      </c>
      <c r="I1131" s="2" t="s">
        <v>2918</v>
      </c>
      <c r="J1131" s="3" t="str">
        <f>HYPERLINK("https://www.boe.es/gazeta/dias/1817/05/08/pdfs/GMD-1817-55.pdf#page=8","Abrir facsímil")</f>
        <v>Abrir facsímil</v>
      </c>
      <c r="K1131" s="3" t="s">
        <v>23</v>
      </c>
    </row>
    <row r="1132" spans="1:11" ht="42" customHeight="1">
      <c r="A1132" s="2" t="s">
        <v>2919</v>
      </c>
      <c r="B1132" s="2" t="s">
        <v>2919</v>
      </c>
      <c r="C1132" s="2" t="s">
        <v>36</v>
      </c>
      <c r="D1132" s="2" t="s">
        <v>37</v>
      </c>
      <c r="E1132" s="5">
        <v>-30275</v>
      </c>
      <c r="F1132" s="3" t="s">
        <v>1025</v>
      </c>
      <c r="G1132" s="3" t="s">
        <v>77</v>
      </c>
      <c r="H1132" s="2" t="s">
        <v>21</v>
      </c>
      <c r="I1132" s="2" t="s">
        <v>2920</v>
      </c>
      <c r="J1132" s="3" t="str">
        <f>HYPERLINK("https://www.boe.es/gazeta/dias/1817/02/08/pdfs/GMD-1817-17.pdf#page=8","Abrir facsímil")</f>
        <v>Abrir facsímil</v>
      </c>
      <c r="K1132" s="3" t="s">
        <v>23</v>
      </c>
    </row>
    <row r="1133" spans="1:11" ht="42" customHeight="1">
      <c r="A1133" s="2" t="s">
        <v>2921</v>
      </c>
      <c r="B1133" s="2" t="s">
        <v>2922</v>
      </c>
      <c r="C1133" s="2" t="s">
        <v>55</v>
      </c>
      <c r="D1133" s="2" t="s">
        <v>44</v>
      </c>
      <c r="E1133" s="5">
        <v>-29992</v>
      </c>
      <c r="F1133" s="3" t="s">
        <v>50</v>
      </c>
      <c r="G1133" s="3" t="s">
        <v>51</v>
      </c>
      <c r="H1133" s="2" t="s">
        <v>21</v>
      </c>
      <c r="I1133" s="2" t="s">
        <v>2923</v>
      </c>
      <c r="J1133" s="3" t="str">
        <f>HYPERLINK("https://www.boe.es/gazeta/dias/1817/11/18/pdfs/GMD-1817-138.pdf#page=8","Abrir facsímil")</f>
        <v>Abrir facsímil</v>
      </c>
      <c r="K1133" s="3" t="s">
        <v>23</v>
      </c>
    </row>
    <row r="1134" spans="1:11" ht="42" customHeight="1">
      <c r="A1134" s="2" t="s">
        <v>2924</v>
      </c>
      <c r="B1134" s="2" t="s">
        <v>2925</v>
      </c>
      <c r="C1134" s="2" t="s">
        <v>36</v>
      </c>
      <c r="D1134" s="2" t="s">
        <v>37</v>
      </c>
      <c r="E1134" s="5">
        <v>-29988</v>
      </c>
      <c r="F1134" s="3" t="s">
        <v>569</v>
      </c>
      <c r="G1134" s="3" t="s">
        <v>2926</v>
      </c>
      <c r="H1134" s="2" t="s">
        <v>21</v>
      </c>
      <c r="I1134" s="2" t="s">
        <v>2927</v>
      </c>
      <c r="J1134" s="3" t="str">
        <f>HYPERLINK("https://www.boe.es/gazeta/dias/1817/11/22/pdfs/GMD-1817-140.pdf#page=9","Abrir facsímil")</f>
        <v>Abrir facsímil</v>
      </c>
      <c r="K1134" s="3" t="s">
        <v>23</v>
      </c>
    </row>
    <row r="1135" spans="1:11" ht="42" customHeight="1">
      <c r="A1135" s="2" t="s">
        <v>2928</v>
      </c>
      <c r="B1135" s="2" t="s">
        <v>2928</v>
      </c>
      <c r="C1135" s="2" t="s">
        <v>43</v>
      </c>
      <c r="D1135" s="2" t="s">
        <v>44</v>
      </c>
      <c r="E1135" s="5">
        <v>-30160</v>
      </c>
      <c r="F1135" s="3" t="s">
        <v>116</v>
      </c>
      <c r="G1135" s="3" t="s">
        <v>72</v>
      </c>
      <c r="H1135" s="2" t="s">
        <v>21</v>
      </c>
      <c r="I1135" s="2" t="s">
        <v>2929</v>
      </c>
      <c r="J1135" s="3" t="str">
        <f>HYPERLINK("https://www.boe.es/gazeta/dias/1817/06/03/pdfs/GMD-1817-66.pdf#page=1","Abrir facsímil")</f>
        <v>Abrir facsímil</v>
      </c>
      <c r="K1135" s="3" t="s">
        <v>23</v>
      </c>
    </row>
    <row r="1136" spans="1:11" ht="42" customHeight="1">
      <c r="A1136" s="2" t="s">
        <v>2930</v>
      </c>
      <c r="B1136" s="2" t="s">
        <v>2931</v>
      </c>
      <c r="C1136" s="2" t="s">
        <v>36</v>
      </c>
      <c r="D1136" s="2" t="s">
        <v>37</v>
      </c>
      <c r="E1136" s="5">
        <v>-30160</v>
      </c>
      <c r="F1136" s="3" t="s">
        <v>116</v>
      </c>
      <c r="G1136" s="3" t="s">
        <v>72</v>
      </c>
      <c r="H1136" s="2" t="s">
        <v>21</v>
      </c>
      <c r="I1136" s="2" t="s">
        <v>2932</v>
      </c>
      <c r="J1136" s="3" t="str">
        <f>HYPERLINK("https://www.boe.es/gazeta/dias/1817/06/03/pdfs/GMD-1817-66.pdf#page=1","Abrir facsímil")</f>
        <v>Abrir facsímil</v>
      </c>
      <c r="K1136" s="3" t="s">
        <v>23</v>
      </c>
    </row>
    <row r="1137" spans="1:11" ht="42" customHeight="1">
      <c r="A1137" s="2" t="s">
        <v>2933</v>
      </c>
      <c r="B1137" s="2" t="s">
        <v>2934</v>
      </c>
      <c r="C1137" s="2" t="s">
        <v>97</v>
      </c>
      <c r="D1137" s="2" t="s">
        <v>44</v>
      </c>
      <c r="E1137" s="5">
        <v>-30198</v>
      </c>
      <c r="F1137" s="3" t="s">
        <v>2185</v>
      </c>
      <c r="G1137" s="3" t="s">
        <v>2186</v>
      </c>
      <c r="H1137" s="2" t="s">
        <v>27</v>
      </c>
      <c r="I1137" s="2" t="s">
        <v>2935</v>
      </c>
      <c r="J1137" s="3" t="str">
        <f>HYPERLINK("https://www.boe.es/gazeta/dias/1817/04/26/pdfs/GMD-1817-50.pdf#page=8","Abrir facsímil")</f>
        <v>Abrir facsímil</v>
      </c>
      <c r="K1137" s="3" t="s">
        <v>29</v>
      </c>
    </row>
    <row r="1138" spans="1:11" ht="42" customHeight="1">
      <c r="A1138" s="2" t="s">
        <v>2936</v>
      </c>
      <c r="B1138" s="2" t="s">
        <v>2937</v>
      </c>
      <c r="C1138" s="2" t="s">
        <v>36</v>
      </c>
      <c r="D1138" s="2" t="s">
        <v>37</v>
      </c>
      <c r="E1138" s="5">
        <v>-29953</v>
      </c>
      <c r="F1138" s="3" t="s">
        <v>793</v>
      </c>
      <c r="G1138" s="3" t="s">
        <v>72</v>
      </c>
      <c r="H1138" s="2" t="s">
        <v>27</v>
      </c>
      <c r="I1138" s="2" t="s">
        <v>2938</v>
      </c>
      <c r="J1138" s="3" t="str">
        <f>HYPERLINK("https://www.boe.es/gazeta/dias/1817/12/27/pdfs/GMD-1817-155.pdf#page=1","Abrir facsímil")</f>
        <v>Abrir facsímil</v>
      </c>
      <c r="K1138" s="3" t="s">
        <v>29</v>
      </c>
    </row>
    <row r="1139" spans="1:11" ht="42" customHeight="1">
      <c r="A1139" s="2" t="s">
        <v>2939</v>
      </c>
      <c r="B1139" s="2" t="s">
        <v>2940</v>
      </c>
      <c r="C1139" s="2" t="s">
        <v>36</v>
      </c>
      <c r="D1139" s="2" t="s">
        <v>37</v>
      </c>
      <c r="E1139" s="5">
        <v>-30209</v>
      </c>
      <c r="F1139" s="3" t="s">
        <v>1478</v>
      </c>
      <c r="G1139" s="3" t="s">
        <v>72</v>
      </c>
      <c r="H1139" s="2" t="s">
        <v>21</v>
      </c>
      <c r="I1139" s="2" t="s">
        <v>2941</v>
      </c>
      <c r="J1139" s="3" t="str">
        <f>HYPERLINK("https://www.boe.es/gazeta/dias/1817/04/15/pdfs/GMD-1817-45.pdf#page=1","Abrir facsímil")</f>
        <v>Abrir facsímil</v>
      </c>
      <c r="K1139" s="3" t="s">
        <v>23</v>
      </c>
    </row>
    <row r="1140" spans="1:11" ht="42" customHeight="1">
      <c r="A1140" s="2" t="s">
        <v>2942</v>
      </c>
      <c r="B1140" s="2" t="s">
        <v>2943</v>
      </c>
      <c r="C1140" s="2" t="s">
        <v>36</v>
      </c>
      <c r="D1140" s="2" t="s">
        <v>37</v>
      </c>
      <c r="E1140" s="5">
        <v>-30261</v>
      </c>
      <c r="F1140" s="3" t="s">
        <v>226</v>
      </c>
      <c r="G1140" s="3" t="s">
        <v>20</v>
      </c>
      <c r="H1140" s="2" t="s">
        <v>21</v>
      </c>
      <c r="I1140" s="2" t="s">
        <v>2944</v>
      </c>
      <c r="J1140" s="3" t="str">
        <f>HYPERLINK("https://www.boe.es/gazeta/dias/1817/02/22/pdfs/GMD-1817-23.pdf#page=7","Abrir facsímil")</f>
        <v>Abrir facsímil</v>
      </c>
      <c r="K1140" s="3" t="s">
        <v>23</v>
      </c>
    </row>
    <row r="1141" spans="1:11" ht="42" customHeight="1">
      <c r="A1141" s="2" t="s">
        <v>2945</v>
      </c>
      <c r="B1141" s="2" t="s">
        <v>2946</v>
      </c>
      <c r="C1141" s="2" t="s">
        <v>43</v>
      </c>
      <c r="D1141" s="2" t="s">
        <v>44</v>
      </c>
      <c r="E1141" s="5">
        <v>-30193</v>
      </c>
      <c r="F1141" s="3" t="s">
        <v>38</v>
      </c>
      <c r="G1141" s="3" t="s">
        <v>77</v>
      </c>
      <c r="H1141" s="2" t="s">
        <v>21</v>
      </c>
      <c r="I1141" s="2" t="s">
        <v>2947</v>
      </c>
      <c r="J1141" s="3" t="str">
        <f>HYPERLINK("https://www.boe.es/gazeta/dias/1817/05/01/pdfs/GMD-1817-52.pdf#page=8","Abrir facsímil")</f>
        <v>Abrir facsímil</v>
      </c>
      <c r="K1141" s="3" t="s">
        <v>23</v>
      </c>
    </row>
    <row r="1142" spans="1:11" ht="42" customHeight="1">
      <c r="A1142" s="2" t="s">
        <v>2948</v>
      </c>
      <c r="B1142" s="2" t="s">
        <v>2949</v>
      </c>
      <c r="C1142" s="2" t="s">
        <v>43</v>
      </c>
      <c r="D1142" s="2" t="s">
        <v>44</v>
      </c>
      <c r="E1142" s="5">
        <v>-30293</v>
      </c>
      <c r="F1142" s="3" t="s">
        <v>143</v>
      </c>
      <c r="G1142" s="3" t="s">
        <v>2365</v>
      </c>
      <c r="H1142" s="2" t="s">
        <v>21</v>
      </c>
      <c r="I1142" s="2" t="s">
        <v>2950</v>
      </c>
      <c r="J1142" s="3" t="str">
        <f>HYPERLINK("https://www.boe.es/gazeta/dias/1817/01/21/pdfs/GMD-1817-9.pdf#page=8","Abrir facsímil")</f>
        <v>Abrir facsímil</v>
      </c>
      <c r="K1142" s="3" t="s">
        <v>23</v>
      </c>
    </row>
    <row r="1143" spans="1:11" ht="42" customHeight="1">
      <c r="A1143" s="2" t="s">
        <v>2951</v>
      </c>
      <c r="B1143" s="2" t="s">
        <v>2952</v>
      </c>
      <c r="C1143" s="2" t="s">
        <v>36</v>
      </c>
      <c r="D1143" s="2" t="s">
        <v>37</v>
      </c>
      <c r="E1143" s="5">
        <v>-30307</v>
      </c>
      <c r="F1143" s="3" t="s">
        <v>67</v>
      </c>
      <c r="G1143" s="3" t="s">
        <v>68</v>
      </c>
      <c r="H1143" s="2" t="s">
        <v>27</v>
      </c>
      <c r="I1143" s="2" t="s">
        <v>2953</v>
      </c>
      <c r="J1143" s="3" t="str">
        <f>HYPERLINK("https://www.boe.es/gazeta/dias/1817/01/07/pdfs/GMD-1817-3.pdf#page=8","Abrir facsímil")</f>
        <v>Abrir facsímil</v>
      </c>
      <c r="K1143" s="3" t="s">
        <v>29</v>
      </c>
    </row>
    <row r="1144" spans="1:11" ht="42" customHeight="1">
      <c r="A1144" s="2" t="s">
        <v>2954</v>
      </c>
      <c r="B1144" s="2" t="s">
        <v>2955</v>
      </c>
      <c r="C1144" s="2" t="s">
        <v>36</v>
      </c>
      <c r="D1144" s="2" t="s">
        <v>37</v>
      </c>
      <c r="E1144" s="5">
        <v>-30151</v>
      </c>
      <c r="F1144" s="3" t="s">
        <v>1422</v>
      </c>
      <c r="G1144" s="3" t="s">
        <v>39</v>
      </c>
      <c r="H1144" s="2" t="s">
        <v>21</v>
      </c>
      <c r="I1144" s="2" t="s">
        <v>2956</v>
      </c>
      <c r="J1144" s="3" t="str">
        <f>HYPERLINK("https://www.boe.es/gazeta/dias/1817/06/12/pdfs/GMD-1817-70.pdf#page=5","Abrir facsímil")</f>
        <v>Abrir facsímil</v>
      </c>
      <c r="K1144" s="3" t="s">
        <v>23</v>
      </c>
    </row>
    <row r="1145" spans="1:11" ht="42" customHeight="1">
      <c r="A1145" s="2" t="s">
        <v>2957</v>
      </c>
      <c r="B1145" s="2" t="s">
        <v>2957</v>
      </c>
      <c r="C1145" s="2" t="s">
        <v>36</v>
      </c>
      <c r="D1145" s="2" t="s">
        <v>37</v>
      </c>
      <c r="E1145" s="5">
        <v>-30079</v>
      </c>
      <c r="F1145" s="3" t="s">
        <v>45</v>
      </c>
      <c r="G1145" s="3" t="s">
        <v>629</v>
      </c>
      <c r="H1145" s="2" t="s">
        <v>21</v>
      </c>
      <c r="I1145" s="2" t="s">
        <v>2958</v>
      </c>
      <c r="J1145" s="3" t="str">
        <f>HYPERLINK("https://www.boe.es/gazeta/dias/1817/08/23/pdfs/GMD-1817-101.pdf#page=2","Abrir facsímil")</f>
        <v>Abrir facsímil</v>
      </c>
      <c r="K1145" s="3" t="s">
        <v>23</v>
      </c>
    </row>
    <row r="1146" spans="1:11" ht="42" customHeight="1">
      <c r="A1146" s="2" t="s">
        <v>2959</v>
      </c>
      <c r="B1146" s="2" t="s">
        <v>2959</v>
      </c>
      <c r="C1146" s="2" t="s">
        <v>36</v>
      </c>
      <c r="D1146" s="2" t="s">
        <v>37</v>
      </c>
      <c r="E1146" s="5">
        <v>-30095</v>
      </c>
      <c r="F1146" s="3" t="s">
        <v>365</v>
      </c>
      <c r="G1146" s="3" t="s">
        <v>144</v>
      </c>
      <c r="H1146" s="2" t="s">
        <v>21</v>
      </c>
      <c r="I1146" s="2" t="s">
        <v>2960</v>
      </c>
      <c r="J1146" s="3" t="str">
        <f>HYPERLINK("https://www.boe.es/gazeta/dias/1817/08/07/pdfs/GMD-1817-94.pdf#page=4","Abrir facsímil")</f>
        <v>Abrir facsímil</v>
      </c>
      <c r="K1146" s="3" t="s">
        <v>23</v>
      </c>
    </row>
    <row r="1147" spans="1:11" ht="42" customHeight="1">
      <c r="A1147" s="2" t="s">
        <v>2961</v>
      </c>
      <c r="B1147" s="2" t="s">
        <v>2962</v>
      </c>
      <c r="C1147" s="2" t="s">
        <v>36</v>
      </c>
      <c r="D1147" s="2" t="s">
        <v>37</v>
      </c>
      <c r="E1147" s="5">
        <v>-30200</v>
      </c>
      <c r="F1147" s="3" t="s">
        <v>725</v>
      </c>
      <c r="G1147" s="3" t="s">
        <v>2963</v>
      </c>
      <c r="H1147" s="2" t="s">
        <v>21</v>
      </c>
      <c r="I1147" s="2" t="s">
        <v>2964</v>
      </c>
      <c r="J1147" s="3" t="str">
        <f>HYPERLINK("https://www.boe.es/gazeta/dias/1817/04/24/pdfs/GMD-1817-49.pdf#page=3","Abrir facsímil")</f>
        <v>Abrir facsímil</v>
      </c>
      <c r="K1147" s="3" t="s">
        <v>23</v>
      </c>
    </row>
    <row r="1148" spans="1:11" ht="42" customHeight="1">
      <c r="A1148" s="2" t="s">
        <v>2965</v>
      </c>
      <c r="B1148" s="2" t="s">
        <v>2965</v>
      </c>
      <c r="C1148" s="2" t="s">
        <v>17</v>
      </c>
      <c r="D1148" s="2" t="s">
        <v>18</v>
      </c>
      <c r="E1148" s="5">
        <v>-30053</v>
      </c>
      <c r="F1148" s="3" t="s">
        <v>129</v>
      </c>
      <c r="G1148" s="3" t="s">
        <v>2966</v>
      </c>
      <c r="H1148" s="2" t="s">
        <v>21</v>
      </c>
      <c r="I1148" s="2" t="s">
        <v>2967</v>
      </c>
      <c r="J1148" s="3" t="str">
        <f>HYPERLINK("https://www.boe.es/gazeta/dias/1817/09/18/pdfs/GMD-1817-112.pdf#page=3","Abrir facsímil")</f>
        <v>Abrir facsímil</v>
      </c>
      <c r="K1148" s="3" t="s">
        <v>23</v>
      </c>
    </row>
    <row r="1149" spans="1:11" ht="42" customHeight="1">
      <c r="A1149" s="2" t="s">
        <v>2968</v>
      </c>
      <c r="B1149" s="2" t="s">
        <v>2968</v>
      </c>
      <c r="C1149" s="2" t="s">
        <v>36</v>
      </c>
      <c r="D1149" s="2" t="s">
        <v>37</v>
      </c>
      <c r="E1149" s="5">
        <v>-30102</v>
      </c>
      <c r="F1149" s="3" t="s">
        <v>502</v>
      </c>
      <c r="G1149" s="3" t="s">
        <v>629</v>
      </c>
      <c r="H1149" s="2" t="s">
        <v>21</v>
      </c>
      <c r="I1149" s="2" t="s">
        <v>2969</v>
      </c>
      <c r="J1149" s="3" t="str">
        <f>HYPERLINK("https://www.boe.es/gazeta/dias/1817/07/31/pdfs/GMD-1817-91.pdf#page=2","Abrir facsímil")</f>
        <v>Abrir facsímil</v>
      </c>
      <c r="K1149" s="3" t="s">
        <v>23</v>
      </c>
    </row>
    <row r="1150" spans="1:11" ht="42" customHeight="1">
      <c r="A1150" s="2" t="s">
        <v>2970</v>
      </c>
      <c r="B1150" s="2" t="s">
        <v>2970</v>
      </c>
      <c r="C1150" s="2" t="s">
        <v>55</v>
      </c>
      <c r="D1150" s="2" t="s">
        <v>44</v>
      </c>
      <c r="E1150" s="5">
        <v>-29960</v>
      </c>
      <c r="F1150" s="3" t="s">
        <v>657</v>
      </c>
      <c r="G1150" s="3" t="s">
        <v>82</v>
      </c>
      <c r="H1150" s="2" t="s">
        <v>21</v>
      </c>
      <c r="I1150" s="2" t="s">
        <v>2971</v>
      </c>
      <c r="J1150" s="3" t="str">
        <f>HYPERLINK("https://www.boe.es/gazeta/dias/1817/12/20/pdfs/GMD-1817-152.pdf#page=12","Abrir facsímil")</f>
        <v>Abrir facsímil</v>
      </c>
      <c r="K1150" s="3" t="s">
        <v>23</v>
      </c>
    </row>
    <row r="1151" spans="1:11" ht="42" customHeight="1">
      <c r="A1151" s="2" t="s">
        <v>2972</v>
      </c>
      <c r="B1151" s="2" t="s">
        <v>2972</v>
      </c>
      <c r="C1151" s="2" t="s">
        <v>36</v>
      </c>
      <c r="D1151" s="2" t="s">
        <v>37</v>
      </c>
      <c r="E1151" s="5">
        <v>-30240</v>
      </c>
      <c r="F1151" s="3" t="s">
        <v>347</v>
      </c>
      <c r="G1151" s="3" t="s">
        <v>551</v>
      </c>
      <c r="H1151" s="2" t="s">
        <v>21</v>
      </c>
      <c r="I1151" s="2" t="s">
        <v>2973</v>
      </c>
      <c r="J1151" s="3" t="str">
        <f>HYPERLINK("https://www.boe.es/gazeta/dias/1817/03/15/pdfs/GMD-1817-32.pdf#page=3","Abrir facsímil")</f>
        <v>Abrir facsímil</v>
      </c>
      <c r="K1151" s="3" t="s">
        <v>23</v>
      </c>
    </row>
    <row r="1152" spans="1:11" ht="42" customHeight="1">
      <c r="A1152" s="2" t="s">
        <v>2974</v>
      </c>
      <c r="B1152" s="2" t="s">
        <v>2975</v>
      </c>
      <c r="C1152" s="2" t="s">
        <v>17</v>
      </c>
      <c r="D1152" s="2" t="s">
        <v>18</v>
      </c>
      <c r="E1152" s="5">
        <v>-30132</v>
      </c>
      <c r="F1152" s="3" t="s">
        <v>718</v>
      </c>
      <c r="G1152" s="3" t="s">
        <v>57</v>
      </c>
      <c r="H1152" s="2" t="s">
        <v>27</v>
      </c>
      <c r="I1152" s="2" t="s">
        <v>2976</v>
      </c>
      <c r="J1152" s="3" t="str">
        <f>HYPERLINK("https://www.boe.es/gazeta/dias/1817/07/01/pdfs/GMD-1817-78.pdf#page=6","Abrir facsímil")</f>
        <v>Abrir facsímil</v>
      </c>
      <c r="K1152" s="3" t="s">
        <v>29</v>
      </c>
    </row>
    <row r="1153" spans="1:11" ht="42" customHeight="1">
      <c r="A1153" s="2" t="s">
        <v>2974</v>
      </c>
      <c r="B1153" s="2" t="s">
        <v>2975</v>
      </c>
      <c r="C1153" s="2" t="s">
        <v>49</v>
      </c>
      <c r="D1153" s="2" t="s">
        <v>44</v>
      </c>
      <c r="E1153" s="5">
        <v>-30132</v>
      </c>
      <c r="F1153" s="3" t="s">
        <v>718</v>
      </c>
      <c r="G1153" s="3" t="s">
        <v>20</v>
      </c>
      <c r="H1153" s="2" t="s">
        <v>27</v>
      </c>
      <c r="I1153" s="2" t="s">
        <v>2977</v>
      </c>
      <c r="J1153" s="3" t="str">
        <f>HYPERLINK("https://www.boe.es/gazeta/dias/1817/07/01/pdfs/GMD-1817-78.pdf#page=7","Abrir facsímil")</f>
        <v>Abrir facsímil</v>
      </c>
      <c r="K1153" s="3" t="s">
        <v>29</v>
      </c>
    </row>
    <row r="1154" spans="1:11" ht="42" customHeight="1">
      <c r="A1154" s="2" t="s">
        <v>2978</v>
      </c>
      <c r="B1154" s="2" t="s">
        <v>2979</v>
      </c>
      <c r="C1154" s="2" t="s">
        <v>43</v>
      </c>
      <c r="D1154" s="2" t="s">
        <v>44</v>
      </c>
      <c r="E1154" s="5">
        <v>-30053</v>
      </c>
      <c r="F1154" s="3" t="s">
        <v>129</v>
      </c>
      <c r="G1154" s="3" t="s">
        <v>39</v>
      </c>
      <c r="H1154" s="2" t="s">
        <v>21</v>
      </c>
      <c r="I1154" s="2" t="s">
        <v>2980</v>
      </c>
      <c r="J1154" s="3" t="str">
        <f>HYPERLINK("https://www.boe.es/gazeta/dias/1817/09/18/pdfs/GMD-1817-112.pdf#page=5","Abrir facsímil")</f>
        <v>Abrir facsímil</v>
      </c>
      <c r="K1154" s="3" t="s">
        <v>23</v>
      </c>
    </row>
    <row r="1155" spans="1:11" ht="42" customHeight="1">
      <c r="A1155" s="2" t="s">
        <v>2981</v>
      </c>
      <c r="B1155" s="2" t="s">
        <v>2982</v>
      </c>
      <c r="C1155" s="2" t="s">
        <v>43</v>
      </c>
      <c r="D1155" s="2" t="s">
        <v>44</v>
      </c>
      <c r="E1155" s="5">
        <v>-30139</v>
      </c>
      <c r="F1155" s="3" t="s">
        <v>993</v>
      </c>
      <c r="G1155" s="3" t="s">
        <v>39</v>
      </c>
      <c r="H1155" s="2" t="s">
        <v>21</v>
      </c>
      <c r="I1155" s="2" t="s">
        <v>2983</v>
      </c>
      <c r="J1155" s="3" t="str">
        <f>HYPERLINK("https://www.boe.es/gazeta/dias/1817/06/24/pdfs/GMD-1817-75.pdf#page=5","Abrir facsímil")</f>
        <v>Abrir facsímil</v>
      </c>
      <c r="K1155" s="3" t="s">
        <v>23</v>
      </c>
    </row>
    <row r="1156" spans="1:11" ht="42" customHeight="1">
      <c r="A1156" s="2" t="s">
        <v>2984</v>
      </c>
      <c r="B1156" s="2" t="s">
        <v>2984</v>
      </c>
      <c r="C1156" s="2" t="s">
        <v>43</v>
      </c>
      <c r="D1156" s="2" t="s">
        <v>44</v>
      </c>
      <c r="E1156" s="5">
        <v>-30116</v>
      </c>
      <c r="F1156" s="3" t="s">
        <v>319</v>
      </c>
      <c r="G1156" s="3" t="s">
        <v>39</v>
      </c>
      <c r="H1156" s="2" t="s">
        <v>21</v>
      </c>
      <c r="I1156" s="2" t="s">
        <v>2985</v>
      </c>
      <c r="J1156" s="3" t="str">
        <f>HYPERLINK("https://www.boe.es/gazeta/dias/1817/07/17/pdfs/GMD-1817-85.pdf#page=5","Abrir facsímil")</f>
        <v>Abrir facsímil</v>
      </c>
      <c r="K1156" s="3" t="s">
        <v>23</v>
      </c>
    </row>
    <row r="1157" spans="1:11" ht="42" customHeight="1">
      <c r="A1157" s="2" t="s">
        <v>2986</v>
      </c>
      <c r="B1157" s="2" t="s">
        <v>2986</v>
      </c>
      <c r="C1157" s="2" t="s">
        <v>36</v>
      </c>
      <c r="D1157" s="2" t="s">
        <v>37</v>
      </c>
      <c r="E1157" s="5">
        <v>-29957</v>
      </c>
      <c r="F1157" s="3" t="s">
        <v>1001</v>
      </c>
      <c r="G1157" s="3" t="s">
        <v>57</v>
      </c>
      <c r="H1157" s="2" t="s">
        <v>21</v>
      </c>
      <c r="I1157" s="2" t="s">
        <v>2987</v>
      </c>
      <c r="J1157" s="3" t="str">
        <f>HYPERLINK("https://www.boe.es/gazeta/dias/1817/12/23/pdfs/GMD-1817-153.pdf#page=6","Abrir facsímil")</f>
        <v>Abrir facsímil</v>
      </c>
      <c r="K1157" s="3" t="s">
        <v>23</v>
      </c>
    </row>
    <row r="1158" spans="1:11" ht="42" customHeight="1">
      <c r="A1158" s="2" t="s">
        <v>2988</v>
      </c>
      <c r="B1158" s="2" t="s">
        <v>2989</v>
      </c>
      <c r="C1158" s="2" t="s">
        <v>36</v>
      </c>
      <c r="D1158" s="2" t="s">
        <v>37</v>
      </c>
      <c r="E1158" s="5">
        <v>-30076</v>
      </c>
      <c r="F1158" s="3" t="s">
        <v>439</v>
      </c>
      <c r="G1158" s="3" t="s">
        <v>551</v>
      </c>
      <c r="H1158" s="2" t="s">
        <v>21</v>
      </c>
      <c r="I1158" s="2" t="s">
        <v>2990</v>
      </c>
      <c r="J1158" s="3" t="str">
        <f>HYPERLINK("https://www.boe.es/gazeta/dias/1817/08/26/pdfs/GMD-1817-102.pdf#page=3","Abrir facsímil")</f>
        <v>Abrir facsímil</v>
      </c>
      <c r="K1158" s="3" t="s">
        <v>23</v>
      </c>
    </row>
    <row r="1159" spans="1:11" ht="42" customHeight="1">
      <c r="A1159" s="2" t="s">
        <v>2991</v>
      </c>
      <c r="B1159" s="2" t="s">
        <v>2992</v>
      </c>
      <c r="C1159" s="2" t="s">
        <v>17</v>
      </c>
      <c r="D1159" s="2" t="s">
        <v>18</v>
      </c>
      <c r="E1159" s="5">
        <v>-30048</v>
      </c>
      <c r="F1159" s="3" t="s">
        <v>573</v>
      </c>
      <c r="G1159" s="3" t="s">
        <v>77</v>
      </c>
      <c r="H1159" s="2" t="s">
        <v>27</v>
      </c>
      <c r="I1159" s="2" t="s">
        <v>2993</v>
      </c>
      <c r="J1159" s="3" t="str">
        <f>HYPERLINK("https://www.boe.es/gazeta/dias/1817/09/23/pdfs/GMD-1817-114.pdf#page=8","Abrir facsímil")</f>
        <v>Abrir facsímil</v>
      </c>
      <c r="K1159" s="3" t="s">
        <v>29</v>
      </c>
    </row>
    <row r="1160" spans="1:11" ht="42" customHeight="1">
      <c r="A1160" s="2" t="s">
        <v>2994</v>
      </c>
      <c r="B1160" s="2" t="s">
        <v>2995</v>
      </c>
      <c r="C1160" s="2" t="s">
        <v>36</v>
      </c>
      <c r="D1160" s="2" t="s">
        <v>37</v>
      </c>
      <c r="E1160" s="5">
        <v>-30186</v>
      </c>
      <c r="F1160" s="3" t="s">
        <v>2003</v>
      </c>
      <c r="G1160" s="3" t="s">
        <v>2996</v>
      </c>
      <c r="H1160" s="2" t="s">
        <v>21</v>
      </c>
      <c r="I1160" s="2" t="s">
        <v>2997</v>
      </c>
      <c r="J1160" s="3" t="str">
        <f>HYPERLINK("https://www.boe.es/gazeta/dias/1817/05/08/pdfs/GMD-1817-55.pdf#page=7","Abrir facsímil")</f>
        <v>Abrir facsímil</v>
      </c>
      <c r="K1160" s="3" t="s">
        <v>23</v>
      </c>
    </row>
    <row r="1161" spans="1:11" ht="42" customHeight="1">
      <c r="A1161" s="2" t="s">
        <v>2994</v>
      </c>
      <c r="B1161" s="2" t="s">
        <v>2995</v>
      </c>
      <c r="C1161" s="2" t="s">
        <v>36</v>
      </c>
      <c r="D1161" s="2" t="s">
        <v>37</v>
      </c>
      <c r="E1161" s="5">
        <v>-30163</v>
      </c>
      <c r="F1161" s="3" t="s">
        <v>166</v>
      </c>
      <c r="G1161" s="3" t="s">
        <v>20</v>
      </c>
      <c r="H1161" s="2" t="s">
        <v>21</v>
      </c>
      <c r="I1161" s="2" t="s">
        <v>2998</v>
      </c>
      <c r="J1161" s="3" t="str">
        <f>HYPERLINK("https://www.boe.es/gazeta/dias/1817/05/31/pdfs/GMD-1817-65.pdf#page=7","Abrir facsímil")</f>
        <v>Abrir facsímil</v>
      </c>
      <c r="K1161" s="3" t="s">
        <v>23</v>
      </c>
    </row>
    <row r="1162" spans="1:11" ht="42" customHeight="1">
      <c r="A1162" s="2" t="s">
        <v>2994</v>
      </c>
      <c r="B1162" s="2" t="s">
        <v>2995</v>
      </c>
      <c r="C1162" s="2" t="s">
        <v>36</v>
      </c>
      <c r="D1162" s="2" t="s">
        <v>37</v>
      </c>
      <c r="E1162" s="5">
        <v>-30032</v>
      </c>
      <c r="F1162" s="3" t="s">
        <v>337</v>
      </c>
      <c r="G1162" s="3" t="s">
        <v>57</v>
      </c>
      <c r="H1162" s="2" t="s">
        <v>21</v>
      </c>
      <c r="I1162" s="2" t="s">
        <v>2999</v>
      </c>
      <c r="J1162" s="3" t="str">
        <f>HYPERLINK("https://www.boe.es/gazeta/dias/1817/10/09/pdfs/GMD-1817-121.pdf#page=6","Abrir facsímil")</f>
        <v>Abrir facsímil</v>
      </c>
      <c r="K1162" s="3" t="s">
        <v>23</v>
      </c>
    </row>
    <row r="1163" spans="1:11" ht="42" customHeight="1">
      <c r="A1163" s="2" t="s">
        <v>2994</v>
      </c>
      <c r="B1163" s="2" t="s">
        <v>2995</v>
      </c>
      <c r="C1163" s="2" t="s">
        <v>36</v>
      </c>
      <c r="D1163" s="2" t="s">
        <v>37</v>
      </c>
      <c r="E1163" s="5">
        <v>-30011</v>
      </c>
      <c r="F1163" s="3" t="s">
        <v>313</v>
      </c>
      <c r="G1163" s="3" t="s">
        <v>39</v>
      </c>
      <c r="H1163" s="2" t="s">
        <v>21</v>
      </c>
      <c r="I1163" s="2" t="s">
        <v>3000</v>
      </c>
      <c r="J1163" s="3" t="str">
        <f>HYPERLINK("https://www.boe.es/gazeta/dias/1817/10/30/pdfs/GMD-1817-130.pdf#page=5","Abrir facsímil")</f>
        <v>Abrir facsímil</v>
      </c>
      <c r="K1163" s="3" t="s">
        <v>23</v>
      </c>
    </row>
    <row r="1164" spans="1:11" ht="42" customHeight="1">
      <c r="A1164" s="2" t="s">
        <v>3001</v>
      </c>
      <c r="B1164" s="2" t="s">
        <v>3002</v>
      </c>
      <c r="C1164" s="2" t="s">
        <v>17</v>
      </c>
      <c r="D1164" s="2" t="s">
        <v>18</v>
      </c>
      <c r="E1164" s="5">
        <v>-29985</v>
      </c>
      <c r="F1164" s="3" t="s">
        <v>76</v>
      </c>
      <c r="G1164" s="3" t="s">
        <v>20</v>
      </c>
      <c r="H1164" s="2" t="s">
        <v>21</v>
      </c>
      <c r="I1164" s="2" t="s">
        <v>3003</v>
      </c>
      <c r="J1164" s="3" t="str">
        <f>HYPERLINK("https://www.boe.es/gazeta/dias/1817/11/25/pdfs/GMD-1817-141.pdf#page=7","Abrir facsímil")</f>
        <v>Abrir facsímil</v>
      </c>
      <c r="K1164" s="3" t="s">
        <v>23</v>
      </c>
    </row>
    <row r="1165" spans="1:11" ht="42" customHeight="1">
      <c r="A1165" s="2" t="s">
        <v>3004</v>
      </c>
      <c r="B1165" s="2" t="s">
        <v>3005</v>
      </c>
      <c r="C1165" s="2" t="s">
        <v>43</v>
      </c>
      <c r="D1165" s="2" t="s">
        <v>44</v>
      </c>
      <c r="E1165" s="5">
        <v>-30307</v>
      </c>
      <c r="F1165" s="3" t="s">
        <v>67</v>
      </c>
      <c r="G1165" s="3" t="s">
        <v>68</v>
      </c>
      <c r="H1165" s="2" t="s">
        <v>27</v>
      </c>
      <c r="I1165" s="2" t="s">
        <v>3006</v>
      </c>
      <c r="J1165" s="3" t="str">
        <f>HYPERLINK("https://www.boe.es/gazeta/dias/1817/01/07/pdfs/GMD-1817-3.pdf#page=8","Abrir facsímil")</f>
        <v>Abrir facsímil</v>
      </c>
      <c r="K1165" s="3" t="s">
        <v>29</v>
      </c>
    </row>
    <row r="1166" spans="1:11" ht="42" customHeight="1">
      <c r="A1166" s="2" t="s">
        <v>3007</v>
      </c>
      <c r="B1166" s="2" t="s">
        <v>3007</v>
      </c>
      <c r="C1166" s="2" t="s">
        <v>36</v>
      </c>
      <c r="D1166" s="2" t="s">
        <v>37</v>
      </c>
      <c r="E1166" s="5">
        <v>-29969</v>
      </c>
      <c r="F1166" s="3" t="s">
        <v>252</v>
      </c>
      <c r="G1166" s="3" t="s">
        <v>20</v>
      </c>
      <c r="H1166" s="2" t="s">
        <v>21</v>
      </c>
      <c r="I1166" s="2" t="s">
        <v>3008</v>
      </c>
      <c r="J1166" s="3" t="str">
        <f>HYPERLINK("https://www.boe.es/gazeta/dias/1817/12/11/pdfs/GMD-1817-148.pdf#page=7","Abrir facsímil")</f>
        <v>Abrir facsímil</v>
      </c>
      <c r="K1166" s="3" t="s">
        <v>23</v>
      </c>
    </row>
    <row r="1167" spans="1:11" ht="42" customHeight="1">
      <c r="A1167" s="2" t="s">
        <v>3009</v>
      </c>
      <c r="B1167" s="2" t="s">
        <v>3009</v>
      </c>
      <c r="C1167" s="2" t="s">
        <v>36</v>
      </c>
      <c r="D1167" s="2" t="s">
        <v>37</v>
      </c>
      <c r="E1167" s="5">
        <v>-29957</v>
      </c>
      <c r="F1167" s="3" t="s">
        <v>1001</v>
      </c>
      <c r="G1167" s="3" t="s">
        <v>144</v>
      </c>
      <c r="H1167" s="2" t="s">
        <v>21</v>
      </c>
      <c r="I1167" s="2" t="s">
        <v>3010</v>
      </c>
      <c r="J1167" s="3" t="str">
        <f>HYPERLINK("https://www.boe.es/gazeta/dias/1817/12/23/pdfs/GMD-1817-153.pdf#page=4","Abrir facsímil")</f>
        <v>Abrir facsímil</v>
      </c>
      <c r="K1167" s="3" t="s">
        <v>23</v>
      </c>
    </row>
    <row r="1168" spans="1:11" ht="42" customHeight="1">
      <c r="A1168" s="2" t="s">
        <v>3011</v>
      </c>
      <c r="B1168" s="2" t="s">
        <v>3012</v>
      </c>
      <c r="C1168" s="2" t="s">
        <v>97</v>
      </c>
      <c r="D1168" s="2" t="s">
        <v>44</v>
      </c>
      <c r="E1168" s="5">
        <v>-30055</v>
      </c>
      <c r="F1168" s="3" t="s">
        <v>71</v>
      </c>
      <c r="G1168" s="3" t="s">
        <v>82</v>
      </c>
      <c r="H1168" s="2" t="s">
        <v>21</v>
      </c>
      <c r="I1168" s="2" t="s">
        <v>3013</v>
      </c>
      <c r="J1168" s="3" t="str">
        <f>HYPERLINK("https://www.boe.es/gazeta/dias/1817/09/16/pdfs/GMD-1817-111.pdf#page=12","Abrir facsímil")</f>
        <v>Abrir facsímil</v>
      </c>
      <c r="K1168" s="3" t="s">
        <v>23</v>
      </c>
    </row>
    <row r="1169" spans="1:11" ht="42" customHeight="1">
      <c r="A1169" s="2" t="s">
        <v>3014</v>
      </c>
      <c r="B1169" s="2" t="s">
        <v>3015</v>
      </c>
      <c r="C1169" s="2" t="s">
        <v>43</v>
      </c>
      <c r="D1169" s="2" t="s">
        <v>44</v>
      </c>
      <c r="E1169" s="5">
        <v>-30079</v>
      </c>
      <c r="F1169" s="3" t="s">
        <v>45</v>
      </c>
      <c r="G1169" s="3" t="s">
        <v>39</v>
      </c>
      <c r="H1169" s="2" t="s">
        <v>21</v>
      </c>
      <c r="I1169" s="2" t="s">
        <v>3016</v>
      </c>
      <c r="J1169" s="3" t="str">
        <f>HYPERLINK("https://www.boe.es/gazeta/dias/1817/08/23/pdfs/GMD-1817-101.pdf#page=5","Abrir facsímil")</f>
        <v>Abrir facsímil</v>
      </c>
      <c r="K1169" s="3" t="s">
        <v>23</v>
      </c>
    </row>
    <row r="1170" spans="1:11" ht="42" customHeight="1">
      <c r="A1170" s="2" t="s">
        <v>3017</v>
      </c>
      <c r="B1170" s="2" t="s">
        <v>3018</v>
      </c>
      <c r="C1170" s="2" t="s">
        <v>49</v>
      </c>
      <c r="D1170" s="2" t="s">
        <v>44</v>
      </c>
      <c r="E1170" s="5">
        <v>-30109</v>
      </c>
      <c r="F1170" s="3" t="s">
        <v>205</v>
      </c>
      <c r="G1170" s="3" t="s">
        <v>206</v>
      </c>
      <c r="H1170" s="2" t="s">
        <v>21</v>
      </c>
      <c r="I1170" s="2" t="s">
        <v>3019</v>
      </c>
      <c r="J1170" s="3" t="str">
        <f>HYPERLINK("https://www.boe.es/gazeta/dias/1817/07/24/pdfs/GMD-1817-88.pdf#page=16","Abrir facsímil")</f>
        <v>Abrir facsímil</v>
      </c>
      <c r="K1170" s="3" t="s">
        <v>23</v>
      </c>
    </row>
    <row r="1171" spans="1:11" ht="42" customHeight="1">
      <c r="A1171" s="2" t="s">
        <v>3020</v>
      </c>
      <c r="B1171" s="2" t="s">
        <v>3021</v>
      </c>
      <c r="C1171" s="2" t="s">
        <v>43</v>
      </c>
      <c r="D1171" s="2" t="s">
        <v>44</v>
      </c>
      <c r="E1171" s="5">
        <v>-30237</v>
      </c>
      <c r="F1171" s="3" t="s">
        <v>56</v>
      </c>
      <c r="G1171" s="3" t="s">
        <v>20</v>
      </c>
      <c r="H1171" s="2" t="s">
        <v>21</v>
      </c>
      <c r="I1171" s="2" t="s">
        <v>3022</v>
      </c>
      <c r="J1171" s="3" t="str">
        <f>HYPERLINK("https://www.boe.es/gazeta/dias/1817/03/18/pdfs/GMD-1817-33.pdf#page=7","Abrir facsímil")</f>
        <v>Abrir facsímil</v>
      </c>
      <c r="K1171" s="3" t="s">
        <v>23</v>
      </c>
    </row>
    <row r="1172" spans="1:11" ht="42" customHeight="1">
      <c r="A1172" s="2" t="s">
        <v>3023</v>
      </c>
      <c r="B1172" s="2" t="s">
        <v>3024</v>
      </c>
      <c r="C1172" s="2" t="s">
        <v>36</v>
      </c>
      <c r="D1172" s="2" t="s">
        <v>37</v>
      </c>
      <c r="E1172" s="5">
        <v>-30109</v>
      </c>
      <c r="F1172" s="3" t="s">
        <v>205</v>
      </c>
      <c r="G1172" s="3" t="s">
        <v>112</v>
      </c>
      <c r="H1172" s="2" t="s">
        <v>21</v>
      </c>
      <c r="I1172" s="2" t="s">
        <v>3025</v>
      </c>
      <c r="J1172" s="3" t="str">
        <f>HYPERLINK("https://www.boe.es/gazeta/dias/1817/07/24/pdfs/GMD-1817-88.pdf#page=11","Abrir facsímil")</f>
        <v>Abrir facsímil</v>
      </c>
      <c r="K1172" s="3" t="s">
        <v>23</v>
      </c>
    </row>
    <row r="1173" spans="1:11" ht="42" customHeight="1">
      <c r="A1173" s="2" t="s">
        <v>3026</v>
      </c>
      <c r="B1173" s="2" t="s">
        <v>3027</v>
      </c>
      <c r="C1173" s="2" t="s">
        <v>36</v>
      </c>
      <c r="D1173" s="2" t="s">
        <v>37</v>
      </c>
      <c r="E1173" s="5">
        <v>-30039</v>
      </c>
      <c r="F1173" s="3" t="s">
        <v>558</v>
      </c>
      <c r="G1173" s="3" t="s">
        <v>1592</v>
      </c>
      <c r="H1173" s="2" t="s">
        <v>21</v>
      </c>
      <c r="I1173" s="2" t="s">
        <v>3028</v>
      </c>
      <c r="J1173" s="3" t="str">
        <f>HYPERLINK("https://www.boe.es/gazeta/dias/1817/10/02/pdfs/GMD-1817-118.pdf#page=6","Abrir facsímil")</f>
        <v>Abrir facsímil</v>
      </c>
      <c r="K1173" s="3" t="s">
        <v>23</v>
      </c>
    </row>
    <row r="1174" spans="1:11" ht="42" customHeight="1">
      <c r="A1174" s="2" t="s">
        <v>3029</v>
      </c>
      <c r="B1174" s="2" t="s">
        <v>3029</v>
      </c>
      <c r="C1174" s="2" t="s">
        <v>97</v>
      </c>
      <c r="D1174" s="2" t="s">
        <v>44</v>
      </c>
      <c r="E1174" s="5">
        <v>-30282</v>
      </c>
      <c r="F1174" s="3" t="s">
        <v>1049</v>
      </c>
      <c r="G1174" s="3" t="s">
        <v>2827</v>
      </c>
      <c r="H1174" s="2" t="s">
        <v>21</v>
      </c>
      <c r="I1174" s="2" t="s">
        <v>3030</v>
      </c>
      <c r="J1174" s="3" t="str">
        <f>HYPERLINK("https://www.boe.es/gazeta/dias/1817/02/01/pdfs/GMD-1817-14.pdf#page=8","Abrir facsímil")</f>
        <v>Abrir facsímil</v>
      </c>
      <c r="K1174" s="3" t="s">
        <v>23</v>
      </c>
    </row>
    <row r="1175" spans="1:11" ht="42" customHeight="1">
      <c r="A1175" s="2" t="s">
        <v>3031</v>
      </c>
      <c r="B1175" s="2" t="s">
        <v>3031</v>
      </c>
      <c r="C1175" s="2" t="s">
        <v>36</v>
      </c>
      <c r="D1175" s="2" t="s">
        <v>37</v>
      </c>
      <c r="E1175" s="5">
        <v>-30282</v>
      </c>
      <c r="F1175" s="3" t="s">
        <v>1049</v>
      </c>
      <c r="G1175" s="3" t="s">
        <v>2827</v>
      </c>
      <c r="H1175" s="2" t="s">
        <v>21</v>
      </c>
      <c r="I1175" s="2" t="s">
        <v>3032</v>
      </c>
      <c r="J1175" s="3" t="str">
        <f>HYPERLINK("https://www.boe.es/gazeta/dias/1817/02/01/pdfs/GMD-1817-14.pdf#page=8","Abrir facsímil")</f>
        <v>Abrir facsímil</v>
      </c>
      <c r="K1175" s="3" t="s">
        <v>23</v>
      </c>
    </row>
    <row r="1176" spans="1:11" ht="42" customHeight="1">
      <c r="A1176" s="2" t="s">
        <v>3031</v>
      </c>
      <c r="B1176" s="2" t="s">
        <v>3031</v>
      </c>
      <c r="C1176" s="2" t="s">
        <v>43</v>
      </c>
      <c r="D1176" s="2" t="s">
        <v>44</v>
      </c>
      <c r="E1176" s="5">
        <v>-30097</v>
      </c>
      <c r="F1176" s="3" t="s">
        <v>156</v>
      </c>
      <c r="G1176" s="3" t="s">
        <v>1596</v>
      </c>
      <c r="H1176" s="2" t="s">
        <v>21</v>
      </c>
      <c r="I1176" s="2" t="s">
        <v>3033</v>
      </c>
      <c r="J1176" s="3" t="str">
        <f>HYPERLINK("https://www.boe.es/gazeta/dias/1817/08/05/pdfs/GMD-1817-93.pdf#page=6","Abrir facsímil")</f>
        <v>Abrir facsímil</v>
      </c>
      <c r="K1176" s="3" t="s">
        <v>23</v>
      </c>
    </row>
    <row r="1177" spans="1:11" ht="42" customHeight="1">
      <c r="A1177" s="2" t="s">
        <v>3031</v>
      </c>
      <c r="B1177" s="2" t="s">
        <v>3031</v>
      </c>
      <c r="C1177" s="2" t="s">
        <v>36</v>
      </c>
      <c r="D1177" s="2" t="s">
        <v>37</v>
      </c>
      <c r="E1177" s="5">
        <v>-30065</v>
      </c>
      <c r="F1177" s="3" t="s">
        <v>201</v>
      </c>
      <c r="G1177" s="3" t="s">
        <v>57</v>
      </c>
      <c r="H1177" s="2" t="s">
        <v>21</v>
      </c>
      <c r="I1177" s="2" t="s">
        <v>3034</v>
      </c>
      <c r="J1177" s="3" t="str">
        <f>HYPERLINK("https://www.boe.es/gazeta/dias/1817/09/06/pdfs/GMD-1817-107.pdf#page=6","Abrir facsímil")</f>
        <v>Abrir facsímil</v>
      </c>
      <c r="K1177" s="3" t="s">
        <v>23</v>
      </c>
    </row>
    <row r="1178" spans="1:11" ht="42" customHeight="1">
      <c r="A1178" s="2" t="s">
        <v>3031</v>
      </c>
      <c r="B1178" s="2" t="s">
        <v>3031</v>
      </c>
      <c r="C1178" s="2" t="s">
        <v>17</v>
      </c>
      <c r="D1178" s="2" t="s">
        <v>18</v>
      </c>
      <c r="E1178" s="5">
        <v>-29988</v>
      </c>
      <c r="F1178" s="3" t="s">
        <v>569</v>
      </c>
      <c r="G1178" s="3" t="s">
        <v>112</v>
      </c>
      <c r="H1178" s="2" t="s">
        <v>21</v>
      </c>
      <c r="I1178" s="2" t="s">
        <v>3035</v>
      </c>
      <c r="J1178" s="3" t="str">
        <f>HYPERLINK("https://www.boe.es/gazeta/dias/1817/11/22/pdfs/GMD-1817-140.pdf#page=11","Abrir facsímil")</f>
        <v>Abrir facsímil</v>
      </c>
      <c r="K1178" s="3" t="s">
        <v>23</v>
      </c>
    </row>
    <row r="1179" spans="1:11" ht="42" customHeight="1">
      <c r="A1179" s="2" t="s">
        <v>3036</v>
      </c>
      <c r="B1179" s="2" t="s">
        <v>3036</v>
      </c>
      <c r="C1179" s="2" t="s">
        <v>36</v>
      </c>
      <c r="D1179" s="2" t="s">
        <v>37</v>
      </c>
      <c r="E1179" s="5">
        <v>-29988</v>
      </c>
      <c r="F1179" s="3" t="s">
        <v>569</v>
      </c>
      <c r="G1179" s="3" t="s">
        <v>72</v>
      </c>
      <c r="H1179" s="2" t="s">
        <v>21</v>
      </c>
      <c r="I1179" s="2" t="s">
        <v>3037</v>
      </c>
      <c r="J1179" s="3" t="str">
        <f>HYPERLINK("https://www.boe.es/gazeta/dias/1817/11/22/pdfs/GMD-1817-140.pdf#page=1","Abrir facsímil")</f>
        <v>Abrir facsímil</v>
      </c>
      <c r="K1179" s="3" t="s">
        <v>23</v>
      </c>
    </row>
    <row r="1180" spans="1:11" ht="42" customHeight="1">
      <c r="A1180" s="2" t="s">
        <v>3038</v>
      </c>
      <c r="B1180" s="2" t="s">
        <v>3039</v>
      </c>
      <c r="C1180" s="2" t="s">
        <v>36</v>
      </c>
      <c r="D1180" s="2" t="s">
        <v>37</v>
      </c>
      <c r="E1180" s="5">
        <v>-30065</v>
      </c>
      <c r="F1180" s="3" t="s">
        <v>201</v>
      </c>
      <c r="G1180" s="3" t="s">
        <v>20</v>
      </c>
      <c r="H1180" s="2" t="s">
        <v>21</v>
      </c>
      <c r="I1180" s="2" t="s">
        <v>3040</v>
      </c>
      <c r="J1180" s="3" t="str">
        <f>HYPERLINK("https://www.boe.es/gazeta/dias/1817/09/06/pdfs/GMD-1817-107.pdf#page=7","Abrir facsímil")</f>
        <v>Abrir facsímil</v>
      </c>
      <c r="K1180" s="3" t="s">
        <v>23</v>
      </c>
    </row>
    <row r="1181" spans="1:11" ht="42" customHeight="1">
      <c r="A1181" s="2" t="s">
        <v>3041</v>
      </c>
      <c r="B1181" s="2" t="s">
        <v>3042</v>
      </c>
      <c r="C1181" s="2" t="s">
        <v>43</v>
      </c>
      <c r="D1181" s="2" t="s">
        <v>44</v>
      </c>
      <c r="E1181" s="5">
        <v>-30228</v>
      </c>
      <c r="F1181" s="3" t="s">
        <v>383</v>
      </c>
      <c r="G1181" s="3" t="s">
        <v>57</v>
      </c>
      <c r="H1181" s="2" t="s">
        <v>21</v>
      </c>
      <c r="I1181" s="2" t="s">
        <v>3043</v>
      </c>
      <c r="J1181" s="3" t="str">
        <f>HYPERLINK("https://www.boe.es/gazeta/dias/1817/03/27/pdfs/GMD-1817-37.pdf#page=6","Abrir facsímil")</f>
        <v>Abrir facsímil</v>
      </c>
      <c r="K1181" s="3" t="s">
        <v>23</v>
      </c>
    </row>
    <row r="1182" spans="1:11" ht="42" customHeight="1">
      <c r="A1182" s="2" t="s">
        <v>3044</v>
      </c>
      <c r="B1182" s="2" t="s">
        <v>3045</v>
      </c>
      <c r="C1182" s="2" t="s">
        <v>36</v>
      </c>
      <c r="D1182" s="2" t="s">
        <v>37</v>
      </c>
      <c r="E1182" s="5">
        <v>-30039</v>
      </c>
      <c r="F1182" s="3" t="s">
        <v>558</v>
      </c>
      <c r="G1182" s="3" t="s">
        <v>1592</v>
      </c>
      <c r="H1182" s="2" t="s">
        <v>21</v>
      </c>
      <c r="I1182" s="2" t="s">
        <v>3046</v>
      </c>
      <c r="J1182" s="3" t="str">
        <f>HYPERLINK("https://www.boe.es/gazeta/dias/1817/10/02/pdfs/GMD-1817-118.pdf#page=6","Abrir facsímil")</f>
        <v>Abrir facsímil</v>
      </c>
      <c r="K1182" s="3" t="s">
        <v>23</v>
      </c>
    </row>
    <row r="1183" spans="1:11" ht="42" customHeight="1">
      <c r="A1183" s="2" t="s">
        <v>3047</v>
      </c>
      <c r="B1183" s="2" t="s">
        <v>3047</v>
      </c>
      <c r="C1183" s="2" t="s">
        <v>36</v>
      </c>
      <c r="D1183" s="2" t="s">
        <v>37</v>
      </c>
      <c r="E1183" s="5">
        <v>-29955</v>
      </c>
      <c r="F1183" s="3" t="s">
        <v>805</v>
      </c>
      <c r="G1183" s="3" t="s">
        <v>629</v>
      </c>
      <c r="H1183" s="2" t="s">
        <v>21</v>
      </c>
      <c r="I1183" s="2" t="s">
        <v>3048</v>
      </c>
      <c r="J1183" s="3" t="str">
        <f>HYPERLINK("https://www.boe.es/gazeta/dias/1817/12/25/pdfs/GMD-1817-154.pdf#page=2","Abrir facsímil")</f>
        <v>Abrir facsímil</v>
      </c>
      <c r="K1183" s="3" t="s">
        <v>23</v>
      </c>
    </row>
    <row r="1184" spans="1:11" ht="42" customHeight="1">
      <c r="A1184" s="2" t="s">
        <v>3049</v>
      </c>
      <c r="B1184" s="2" t="s">
        <v>3049</v>
      </c>
      <c r="C1184" s="2" t="s">
        <v>36</v>
      </c>
      <c r="D1184" s="2" t="s">
        <v>37</v>
      </c>
      <c r="E1184" s="5">
        <v>-29992</v>
      </c>
      <c r="F1184" s="3" t="s">
        <v>50</v>
      </c>
      <c r="G1184" s="3" t="s">
        <v>72</v>
      </c>
      <c r="H1184" s="2" t="s">
        <v>21</v>
      </c>
      <c r="I1184" s="2" t="s">
        <v>3050</v>
      </c>
      <c r="J1184" s="3" t="str">
        <f>HYPERLINK("https://www.boe.es/gazeta/dias/1817/11/18/pdfs/GMD-1817-138.pdf#page=1","Abrir facsímil")</f>
        <v>Abrir facsímil</v>
      </c>
      <c r="K1184" s="3" t="s">
        <v>23</v>
      </c>
    </row>
    <row r="1185" spans="1:11" ht="42" customHeight="1">
      <c r="A1185" s="2" t="s">
        <v>3051</v>
      </c>
      <c r="B1185" s="2" t="s">
        <v>3052</v>
      </c>
      <c r="C1185" s="2" t="s">
        <v>36</v>
      </c>
      <c r="D1185" s="2" t="s">
        <v>37</v>
      </c>
      <c r="E1185" s="5">
        <v>-30254</v>
      </c>
      <c r="F1185" s="3" t="s">
        <v>124</v>
      </c>
      <c r="G1185" s="3" t="s">
        <v>3053</v>
      </c>
      <c r="H1185" s="2" t="s">
        <v>21</v>
      </c>
      <c r="I1185" s="2" t="s">
        <v>3054</v>
      </c>
      <c r="J1185" s="3" t="str">
        <f>HYPERLINK("https://www.boe.es/gazeta/dias/1817/03/01/pdfs/GMD-1817-26.pdf#page=8","Abrir facsímil")</f>
        <v>Abrir facsímil</v>
      </c>
      <c r="K1185" s="3" t="s">
        <v>23</v>
      </c>
    </row>
    <row r="1186" spans="1:11" ht="42" customHeight="1">
      <c r="A1186" s="2" t="s">
        <v>3055</v>
      </c>
      <c r="B1186" s="2" t="s">
        <v>3056</v>
      </c>
      <c r="C1186" s="2" t="s">
        <v>17</v>
      </c>
      <c r="D1186" s="2" t="s">
        <v>18</v>
      </c>
      <c r="E1186" s="5">
        <v>-30179</v>
      </c>
      <c r="F1186" s="3" t="s">
        <v>391</v>
      </c>
      <c r="G1186" s="3" t="s">
        <v>20</v>
      </c>
      <c r="H1186" s="2" t="s">
        <v>21</v>
      </c>
      <c r="I1186" s="2" t="s">
        <v>3057</v>
      </c>
      <c r="J1186" s="3" t="str">
        <f>HYPERLINK("https://www.boe.es/gazeta/dias/1817/05/15/pdfs/GMD-1817-58.pdf#page=7","Abrir facsímil")</f>
        <v>Abrir facsímil</v>
      </c>
      <c r="K1186" s="3" t="s">
        <v>23</v>
      </c>
    </row>
    <row r="1187" spans="1:11" ht="42" customHeight="1">
      <c r="A1187" s="2" t="s">
        <v>3058</v>
      </c>
      <c r="B1187" s="2" t="s">
        <v>3058</v>
      </c>
      <c r="C1187" s="2" t="s">
        <v>55</v>
      </c>
      <c r="D1187" s="2" t="s">
        <v>44</v>
      </c>
      <c r="E1187" s="5">
        <v>-29997</v>
      </c>
      <c r="F1187" s="3" t="s">
        <v>652</v>
      </c>
      <c r="G1187" s="3" t="s">
        <v>3059</v>
      </c>
      <c r="H1187" s="2" t="s">
        <v>21</v>
      </c>
      <c r="I1187" s="2" t="s">
        <v>3060</v>
      </c>
      <c r="J1187" s="3" t="str">
        <f>HYPERLINK("https://www.boe.es/gazeta/dias/1817/11/13/pdfs/GMD-1817-136.pdf#page=12","Abrir facsímil")</f>
        <v>Abrir facsímil</v>
      </c>
      <c r="K1187" s="3" t="s">
        <v>23</v>
      </c>
    </row>
    <row r="1188" spans="1:11" ht="42" customHeight="1">
      <c r="A1188" s="2" t="s">
        <v>3061</v>
      </c>
      <c r="B1188" s="2" t="s">
        <v>3061</v>
      </c>
      <c r="C1188" s="2" t="s">
        <v>36</v>
      </c>
      <c r="D1188" s="2" t="s">
        <v>37</v>
      </c>
      <c r="E1188" s="5">
        <v>-29978</v>
      </c>
      <c r="F1188" s="3" t="s">
        <v>478</v>
      </c>
      <c r="G1188" s="3" t="s">
        <v>20</v>
      </c>
      <c r="H1188" s="2" t="s">
        <v>21</v>
      </c>
      <c r="I1188" s="2" t="s">
        <v>3062</v>
      </c>
      <c r="J1188" s="3" t="str">
        <f>HYPERLINK("https://www.boe.es/gazeta/dias/1817/12/02/pdfs/GMD-1817-144.pdf#page=7","Abrir facsímil")</f>
        <v>Abrir facsímil</v>
      </c>
      <c r="K1188" s="3" t="s">
        <v>23</v>
      </c>
    </row>
    <row r="1189" spans="1:11" ht="42" customHeight="1">
      <c r="A1189" s="2" t="s">
        <v>3063</v>
      </c>
      <c r="B1189" s="2" t="s">
        <v>3064</v>
      </c>
      <c r="C1189" s="2" t="s">
        <v>138</v>
      </c>
      <c r="D1189" s="2" t="s">
        <v>44</v>
      </c>
      <c r="E1189" s="5">
        <v>-29974</v>
      </c>
      <c r="F1189" s="3" t="s">
        <v>32</v>
      </c>
      <c r="G1189" s="3" t="s">
        <v>20</v>
      </c>
      <c r="H1189" s="2" t="s">
        <v>21</v>
      </c>
      <c r="I1189" s="2" t="s">
        <v>3065</v>
      </c>
      <c r="J1189" s="3" t="str">
        <f>HYPERLINK("https://www.boe.es/gazeta/dias/1817/12/06/pdfs/GMD-1817-146.pdf#page=7","Abrir facsímil")</f>
        <v>Abrir facsímil</v>
      </c>
      <c r="K1189" s="3" t="s">
        <v>23</v>
      </c>
    </row>
    <row r="1190" spans="1:11" ht="42" customHeight="1">
      <c r="A1190" s="2" t="s">
        <v>3066</v>
      </c>
      <c r="B1190" s="2" t="s">
        <v>3067</v>
      </c>
      <c r="C1190" s="2" t="s">
        <v>36</v>
      </c>
      <c r="D1190" s="2" t="s">
        <v>37</v>
      </c>
      <c r="E1190" s="5">
        <v>-30027</v>
      </c>
      <c r="F1190" s="3" t="s">
        <v>173</v>
      </c>
      <c r="G1190" s="3" t="s">
        <v>144</v>
      </c>
      <c r="H1190" s="2" t="s">
        <v>21</v>
      </c>
      <c r="I1190" s="2" t="s">
        <v>3068</v>
      </c>
      <c r="J1190" s="3" t="str">
        <f>HYPERLINK("https://www.boe.es/gazeta/dias/1817/10/14/pdfs/GMD-1817-123.pdf#page=4","Abrir facsímil")</f>
        <v>Abrir facsímil</v>
      </c>
      <c r="K1190" s="3" t="s">
        <v>23</v>
      </c>
    </row>
    <row r="1191" spans="1:11" ht="42" customHeight="1">
      <c r="A1191" s="2" t="s">
        <v>3069</v>
      </c>
      <c r="B1191" s="2" t="s">
        <v>3070</v>
      </c>
      <c r="C1191" s="2" t="s">
        <v>36</v>
      </c>
      <c r="D1191" s="2" t="s">
        <v>37</v>
      </c>
      <c r="E1191" s="5">
        <v>-30139</v>
      </c>
      <c r="F1191" s="3" t="s">
        <v>993</v>
      </c>
      <c r="G1191" s="3" t="s">
        <v>1053</v>
      </c>
      <c r="H1191" s="2" t="s">
        <v>21</v>
      </c>
      <c r="I1191" s="2" t="s">
        <v>3071</v>
      </c>
      <c r="J1191" s="3" t="str">
        <f>HYPERLINK("https://www.boe.es/gazeta/dias/1817/06/24/pdfs/GMD-1817-75.pdf#page=4","Abrir facsímil")</f>
        <v>Abrir facsímil</v>
      </c>
      <c r="K1191" s="3" t="s">
        <v>23</v>
      </c>
    </row>
    <row r="1192" spans="1:11" ht="42" customHeight="1">
      <c r="A1192" s="2" t="s">
        <v>3069</v>
      </c>
      <c r="B1192" s="2" t="s">
        <v>3070</v>
      </c>
      <c r="C1192" s="2" t="s">
        <v>36</v>
      </c>
      <c r="D1192" s="2" t="s">
        <v>37</v>
      </c>
      <c r="E1192" s="5">
        <v>-30027</v>
      </c>
      <c r="F1192" s="3" t="s">
        <v>173</v>
      </c>
      <c r="G1192" s="3" t="s">
        <v>708</v>
      </c>
      <c r="H1192" s="2" t="s">
        <v>21</v>
      </c>
      <c r="I1192" s="2" t="s">
        <v>3072</v>
      </c>
      <c r="J1192" s="3" t="str">
        <f>HYPERLINK("https://www.boe.es/gazeta/dias/1817/10/14/pdfs/GMD-1817-123.pdf#page=6","Abrir facsímil")</f>
        <v>Abrir facsímil</v>
      </c>
      <c r="K1192" s="3" t="s">
        <v>23</v>
      </c>
    </row>
    <row r="1193" spans="1:11" ht="42" customHeight="1">
      <c r="A1193" s="2" t="s">
        <v>3073</v>
      </c>
      <c r="B1193" s="2" t="s">
        <v>3074</v>
      </c>
      <c r="C1193" s="2" t="s">
        <v>36</v>
      </c>
      <c r="D1193" s="2" t="s">
        <v>37</v>
      </c>
      <c r="E1193" s="5">
        <v>-30006</v>
      </c>
      <c r="F1193" s="3" t="s">
        <v>210</v>
      </c>
      <c r="G1193" s="3" t="s">
        <v>863</v>
      </c>
      <c r="H1193" s="2" t="s">
        <v>27</v>
      </c>
      <c r="I1193" s="2" t="s">
        <v>3075</v>
      </c>
      <c r="J1193" s="3" t="str">
        <f>HYPERLINK("https://www.boe.es/gazeta/dias/1817/11/04/pdfs/GMD-1817-132.pdf#page=4","Abrir facsímil")</f>
        <v>Abrir facsímil</v>
      </c>
      <c r="K1193" s="3" t="s">
        <v>29</v>
      </c>
    </row>
    <row r="1194" spans="1:11" ht="42" customHeight="1">
      <c r="A1194" s="2" t="s">
        <v>3076</v>
      </c>
      <c r="B1194" s="2" t="s">
        <v>3077</v>
      </c>
      <c r="C1194" s="2" t="s">
        <v>17</v>
      </c>
      <c r="D1194" s="2" t="s">
        <v>18</v>
      </c>
      <c r="E1194" s="5">
        <v>-30048</v>
      </c>
      <c r="F1194" s="3" t="s">
        <v>573</v>
      </c>
      <c r="G1194" s="3" t="s">
        <v>20</v>
      </c>
      <c r="H1194" s="2" t="s">
        <v>21</v>
      </c>
      <c r="I1194" s="2" t="s">
        <v>3078</v>
      </c>
      <c r="J1194" s="3" t="str">
        <f>HYPERLINK("https://www.boe.es/gazeta/dias/1817/09/23/pdfs/GMD-1817-114.pdf#page=7","Abrir facsímil")</f>
        <v>Abrir facsímil</v>
      </c>
      <c r="K1194" s="3" t="s">
        <v>23</v>
      </c>
    </row>
    <row r="1195" spans="1:11" ht="42" customHeight="1">
      <c r="A1195" s="2" t="s">
        <v>3079</v>
      </c>
      <c r="B1195" s="2" t="s">
        <v>3080</v>
      </c>
      <c r="C1195" s="2" t="s">
        <v>36</v>
      </c>
      <c r="D1195" s="2" t="s">
        <v>37</v>
      </c>
      <c r="E1195" s="5">
        <v>-30198</v>
      </c>
      <c r="F1195" s="3" t="s">
        <v>2185</v>
      </c>
      <c r="G1195" s="3" t="s">
        <v>57</v>
      </c>
      <c r="H1195" s="2" t="s">
        <v>27</v>
      </c>
      <c r="I1195" s="2" t="s">
        <v>3081</v>
      </c>
      <c r="J1195" s="3" t="str">
        <f>HYPERLINK("https://www.boe.es/gazeta/dias/1817/04/26/pdfs/GMD-1817-50.pdf#page=6","Abrir facsímil")</f>
        <v>Abrir facsímil</v>
      </c>
      <c r="K1195" s="3" t="s">
        <v>29</v>
      </c>
    </row>
    <row r="1196" spans="1:11" ht="42" customHeight="1">
      <c r="A1196" s="2" t="s">
        <v>3082</v>
      </c>
      <c r="B1196" s="2" t="s">
        <v>3082</v>
      </c>
      <c r="C1196" s="2" t="s">
        <v>55</v>
      </c>
      <c r="D1196" s="2" t="s">
        <v>44</v>
      </c>
      <c r="E1196" s="5">
        <v>-30135</v>
      </c>
      <c r="F1196" s="3" t="s">
        <v>239</v>
      </c>
      <c r="G1196" s="3" t="s">
        <v>72</v>
      </c>
      <c r="H1196" s="2" t="s">
        <v>21</v>
      </c>
      <c r="I1196" s="2" t="s">
        <v>3083</v>
      </c>
      <c r="J1196" s="3" t="str">
        <f>HYPERLINK("https://www.boe.es/gazeta/dias/1817/06/28/pdfs/GMD-1817-77.pdf#page=1","Abrir facsímil")</f>
        <v>Abrir facsímil</v>
      </c>
      <c r="K1196" s="3" t="s">
        <v>23</v>
      </c>
    </row>
    <row r="1197" spans="1:11" ht="42" customHeight="1">
      <c r="A1197" s="2" t="s">
        <v>3084</v>
      </c>
      <c r="B1197" s="2" t="s">
        <v>3085</v>
      </c>
      <c r="C1197" s="2" t="s">
        <v>36</v>
      </c>
      <c r="D1197" s="2" t="s">
        <v>37</v>
      </c>
      <c r="E1197" s="5">
        <v>-30307</v>
      </c>
      <c r="F1197" s="3" t="s">
        <v>67</v>
      </c>
      <c r="G1197" s="3" t="s">
        <v>68</v>
      </c>
      <c r="H1197" s="2" t="s">
        <v>21</v>
      </c>
      <c r="I1197" s="2" t="s">
        <v>3086</v>
      </c>
      <c r="J1197" s="3" t="str">
        <f>HYPERLINK("https://www.boe.es/gazeta/dias/1817/01/07/pdfs/GMD-1817-3.pdf#page=8","Abrir facsímil")</f>
        <v>Abrir facsímil</v>
      </c>
      <c r="K1197" s="3" t="s">
        <v>23</v>
      </c>
    </row>
    <row r="1198" spans="1:11" ht="42" customHeight="1">
      <c r="A1198" s="2" t="s">
        <v>3087</v>
      </c>
      <c r="B1198" s="2" t="s">
        <v>3088</v>
      </c>
      <c r="C1198" s="2" t="s">
        <v>17</v>
      </c>
      <c r="D1198" s="2" t="s">
        <v>18</v>
      </c>
      <c r="E1198" s="5">
        <v>-29985</v>
      </c>
      <c r="F1198" s="3" t="s">
        <v>76</v>
      </c>
      <c r="G1198" s="3" t="s">
        <v>112</v>
      </c>
      <c r="H1198" s="2" t="s">
        <v>21</v>
      </c>
      <c r="I1198" s="2" t="s">
        <v>3089</v>
      </c>
      <c r="J1198" s="3" t="str">
        <f>HYPERLINK("https://www.boe.es/gazeta/dias/1817/11/25/pdfs/GMD-1817-141.pdf#page=11","Abrir facsímil")</f>
        <v>Abrir facsímil</v>
      </c>
      <c r="K1198" s="3" t="s">
        <v>23</v>
      </c>
    </row>
    <row r="1199" spans="1:11" ht="42" customHeight="1">
      <c r="A1199" s="2" t="s">
        <v>3090</v>
      </c>
      <c r="B1199" s="2" t="s">
        <v>3091</v>
      </c>
      <c r="C1199" s="2" t="s">
        <v>36</v>
      </c>
      <c r="D1199" s="2" t="s">
        <v>37</v>
      </c>
      <c r="E1199" s="5">
        <v>-30041</v>
      </c>
      <c r="F1199" s="3" t="s">
        <v>260</v>
      </c>
      <c r="G1199" s="3" t="s">
        <v>77</v>
      </c>
      <c r="H1199" s="2" t="s">
        <v>21</v>
      </c>
      <c r="I1199" s="2" t="s">
        <v>3092</v>
      </c>
      <c r="J1199" s="3" t="str">
        <f>HYPERLINK("https://www.boe.es/gazeta/dias/1817/09/30/pdfs/GMD-1817-117.pdf#page=8","Abrir facsímil")</f>
        <v>Abrir facsímil</v>
      </c>
      <c r="K1199" s="3" t="s">
        <v>23</v>
      </c>
    </row>
    <row r="1200" spans="1:11" ht="42" customHeight="1">
      <c r="A1200" s="2" t="s">
        <v>3093</v>
      </c>
      <c r="B1200" s="2" t="s">
        <v>3094</v>
      </c>
      <c r="C1200" s="2" t="s">
        <v>97</v>
      </c>
      <c r="D1200" s="2" t="s">
        <v>44</v>
      </c>
      <c r="E1200" s="5">
        <v>-30055</v>
      </c>
      <c r="F1200" s="3" t="s">
        <v>71</v>
      </c>
      <c r="G1200" s="3" t="s">
        <v>82</v>
      </c>
      <c r="H1200" s="2" t="s">
        <v>21</v>
      </c>
      <c r="I1200" s="2" t="s">
        <v>3095</v>
      </c>
      <c r="J1200" s="3" t="str">
        <f>HYPERLINK("https://www.boe.es/gazeta/dias/1817/09/16/pdfs/GMD-1817-111.pdf#page=12","Abrir facsímil")</f>
        <v>Abrir facsímil</v>
      </c>
      <c r="K1200" s="3" t="s">
        <v>23</v>
      </c>
    </row>
    <row r="1201" spans="1:11" ht="42" customHeight="1">
      <c r="A1201" s="2" t="s">
        <v>3096</v>
      </c>
      <c r="B1201" s="2" t="s">
        <v>3097</v>
      </c>
      <c r="C1201" s="2" t="s">
        <v>97</v>
      </c>
      <c r="D1201" s="2" t="s">
        <v>44</v>
      </c>
      <c r="E1201" s="5">
        <v>-30055</v>
      </c>
      <c r="F1201" s="3" t="s">
        <v>71</v>
      </c>
      <c r="G1201" s="3" t="s">
        <v>82</v>
      </c>
      <c r="H1201" s="2" t="s">
        <v>21</v>
      </c>
      <c r="I1201" s="2" t="s">
        <v>3098</v>
      </c>
      <c r="J1201" s="3" t="str">
        <f>HYPERLINK("https://www.boe.es/gazeta/dias/1817/09/16/pdfs/GMD-1817-111.pdf#page=12","Abrir facsímil")</f>
        <v>Abrir facsímil</v>
      </c>
      <c r="K1201" s="3" t="s">
        <v>23</v>
      </c>
    </row>
    <row r="1202" spans="1:11" ht="42" customHeight="1">
      <c r="A1202" s="2" t="s">
        <v>3099</v>
      </c>
      <c r="B1202" s="2" t="s">
        <v>3099</v>
      </c>
      <c r="C1202" s="2" t="s">
        <v>36</v>
      </c>
      <c r="D1202" s="2" t="s">
        <v>37</v>
      </c>
      <c r="E1202" s="5">
        <v>-30298</v>
      </c>
      <c r="F1202" s="3" t="s">
        <v>489</v>
      </c>
      <c r="G1202" s="3" t="s">
        <v>644</v>
      </c>
      <c r="H1202" s="2" t="s">
        <v>21</v>
      </c>
      <c r="I1202" s="2" t="s">
        <v>3100</v>
      </c>
      <c r="J1202" s="3" t="str">
        <f>HYPERLINK("https://www.boe.es/gazeta/dias/1817/01/16/pdfs/GMD-1817-7.pdf#page=5","Abrir facsímil")</f>
        <v>Abrir facsímil</v>
      </c>
      <c r="K1202" s="3" t="s">
        <v>23</v>
      </c>
    </row>
    <row r="1203" spans="1:11" ht="42" customHeight="1">
      <c r="A1203" s="2" t="s">
        <v>3099</v>
      </c>
      <c r="B1203" s="2" t="s">
        <v>3099</v>
      </c>
      <c r="C1203" s="2" t="s">
        <v>43</v>
      </c>
      <c r="D1203" s="2" t="s">
        <v>44</v>
      </c>
      <c r="E1203" s="5">
        <v>-30027</v>
      </c>
      <c r="F1203" s="3" t="s">
        <v>173</v>
      </c>
      <c r="G1203" s="3" t="s">
        <v>77</v>
      </c>
      <c r="H1203" s="2" t="s">
        <v>21</v>
      </c>
      <c r="I1203" s="2" t="s">
        <v>3101</v>
      </c>
      <c r="J1203" s="3" t="str">
        <f>HYPERLINK("https://www.boe.es/gazeta/dias/1817/10/14/pdfs/GMD-1817-123.pdf#page=8","Abrir facsímil")</f>
        <v>Abrir facsímil</v>
      </c>
      <c r="K1203" s="3" t="s">
        <v>23</v>
      </c>
    </row>
    <row r="1204" spans="1:11" ht="42" customHeight="1">
      <c r="A1204" s="2" t="s">
        <v>3102</v>
      </c>
      <c r="B1204" s="2" t="s">
        <v>3103</v>
      </c>
      <c r="C1204" s="2" t="s">
        <v>17</v>
      </c>
      <c r="D1204" s="2" t="s">
        <v>18</v>
      </c>
      <c r="E1204" s="5">
        <v>-30034</v>
      </c>
      <c r="F1204" s="3" t="s">
        <v>270</v>
      </c>
      <c r="G1204" s="3" t="s">
        <v>20</v>
      </c>
      <c r="H1204" s="2" t="s">
        <v>21</v>
      </c>
      <c r="I1204" s="2" t="s">
        <v>3104</v>
      </c>
      <c r="J1204" s="3" t="str">
        <f>HYPERLINK("https://www.boe.es/gazeta/dias/1817/10/07/pdfs/GMD-1817-120.pdf#page=7","Abrir facsímil")</f>
        <v>Abrir facsímil</v>
      </c>
      <c r="K1204" s="3" t="s">
        <v>23</v>
      </c>
    </row>
    <row r="1205" spans="1:11" ht="42" customHeight="1">
      <c r="A1205" s="2" t="s">
        <v>3105</v>
      </c>
      <c r="B1205" s="2" t="s">
        <v>3105</v>
      </c>
      <c r="C1205" s="2" t="s">
        <v>510</v>
      </c>
      <c r="D1205" s="2" t="s">
        <v>44</v>
      </c>
      <c r="E1205" s="5">
        <v>-30158</v>
      </c>
      <c r="F1205" s="3" t="s">
        <v>305</v>
      </c>
      <c r="G1205" s="3" t="s">
        <v>629</v>
      </c>
      <c r="H1205" s="2" t="s">
        <v>21</v>
      </c>
      <c r="I1205" s="2" t="s">
        <v>3106</v>
      </c>
      <c r="J1205" s="3" t="str">
        <f>HYPERLINK("https://www.boe.es/gazeta/dias/1817/06/05/pdfs/GMD-1817-67.pdf#page=2","Abrir facsímil")</f>
        <v>Abrir facsímil</v>
      </c>
      <c r="K1205" s="3" t="s">
        <v>23</v>
      </c>
    </row>
    <row r="1206" spans="1:11" ht="42" customHeight="1">
      <c r="A1206" s="2" t="s">
        <v>3105</v>
      </c>
      <c r="B1206" s="2" t="s">
        <v>3105</v>
      </c>
      <c r="C1206" s="2" t="s">
        <v>36</v>
      </c>
      <c r="D1206" s="2" t="s">
        <v>37</v>
      </c>
      <c r="E1206" s="5">
        <v>-30156</v>
      </c>
      <c r="F1206" s="3" t="s">
        <v>635</v>
      </c>
      <c r="G1206" s="3" t="s">
        <v>144</v>
      </c>
      <c r="H1206" s="2" t="s">
        <v>21</v>
      </c>
      <c r="I1206" s="2" t="s">
        <v>3107</v>
      </c>
      <c r="J1206" s="3" t="str">
        <f>HYPERLINK("https://www.boe.es/gazeta/dias/1817/06/07/pdfs/GMD-1817-68.pdf#page=4","Abrir facsímil")</f>
        <v>Abrir facsímil</v>
      </c>
      <c r="K1206" s="3" t="s">
        <v>23</v>
      </c>
    </row>
    <row r="1207" spans="1:11" ht="42" customHeight="1">
      <c r="A1207" s="2" t="s">
        <v>3105</v>
      </c>
      <c r="B1207" s="2" t="s">
        <v>3105</v>
      </c>
      <c r="C1207" s="2" t="s">
        <v>43</v>
      </c>
      <c r="D1207" s="2" t="s">
        <v>44</v>
      </c>
      <c r="E1207" s="5">
        <v>-30062</v>
      </c>
      <c r="F1207" s="3" t="s">
        <v>444</v>
      </c>
      <c r="G1207" s="3" t="s">
        <v>72</v>
      </c>
      <c r="H1207" s="2" t="s">
        <v>21</v>
      </c>
      <c r="I1207" s="2" t="s">
        <v>3108</v>
      </c>
      <c r="J1207" s="3" t="str">
        <f>HYPERLINK("https://www.boe.es/gazeta/dias/1817/09/09/pdfs/GMD-1817-108.pdf#page=1","Abrir facsímil")</f>
        <v>Abrir facsímil</v>
      </c>
      <c r="K1207" s="3" t="s">
        <v>23</v>
      </c>
    </row>
    <row r="1208" spans="1:11" ht="42" customHeight="1">
      <c r="A1208" s="2" t="s">
        <v>3109</v>
      </c>
      <c r="B1208" s="2" t="s">
        <v>3110</v>
      </c>
      <c r="C1208" s="2" t="s">
        <v>138</v>
      </c>
      <c r="D1208" s="2" t="s">
        <v>44</v>
      </c>
      <c r="E1208" s="5">
        <v>-30167</v>
      </c>
      <c r="F1208" s="3" t="s">
        <v>153</v>
      </c>
      <c r="G1208" s="3" t="s">
        <v>2489</v>
      </c>
      <c r="H1208" s="2" t="s">
        <v>21</v>
      </c>
      <c r="I1208" s="2" t="s">
        <v>3111</v>
      </c>
      <c r="J1208" s="3" t="str">
        <f>HYPERLINK("https://www.boe.es/gazeta/dias/1817/05/27/pdfs/GMD-1817-63.pdf#page=8","Abrir facsímil")</f>
        <v>Abrir facsímil</v>
      </c>
      <c r="K1208" s="3" t="s">
        <v>23</v>
      </c>
    </row>
    <row r="1209" spans="1:11" ht="42" customHeight="1">
      <c r="A1209" s="2" t="s">
        <v>3112</v>
      </c>
      <c r="B1209" s="2" t="s">
        <v>3113</v>
      </c>
      <c r="C1209" s="2" t="s">
        <v>36</v>
      </c>
      <c r="D1209" s="2" t="s">
        <v>37</v>
      </c>
      <c r="E1209" s="5">
        <v>-29974</v>
      </c>
      <c r="F1209" s="3" t="s">
        <v>32</v>
      </c>
      <c r="G1209" s="3" t="s">
        <v>20</v>
      </c>
      <c r="H1209" s="2" t="s">
        <v>21</v>
      </c>
      <c r="I1209" s="2" t="s">
        <v>3114</v>
      </c>
      <c r="J1209" s="3" t="str">
        <f>HYPERLINK("https://www.boe.es/gazeta/dias/1817/12/06/pdfs/GMD-1817-146.pdf#page=7","Abrir facsímil")</f>
        <v>Abrir facsímil</v>
      </c>
      <c r="K1209" s="3" t="s">
        <v>23</v>
      </c>
    </row>
    <row r="1210" spans="1:11" ht="42" customHeight="1">
      <c r="A1210" s="2" t="s">
        <v>3115</v>
      </c>
      <c r="B1210" s="2" t="s">
        <v>3115</v>
      </c>
      <c r="C1210" s="2" t="s">
        <v>55</v>
      </c>
      <c r="D1210" s="2" t="s">
        <v>44</v>
      </c>
      <c r="E1210" s="5">
        <v>-30230</v>
      </c>
      <c r="F1210" s="3" t="s">
        <v>189</v>
      </c>
      <c r="G1210" s="3" t="s">
        <v>144</v>
      </c>
      <c r="H1210" s="2" t="s">
        <v>21</v>
      </c>
      <c r="I1210" s="2" t="s">
        <v>3116</v>
      </c>
      <c r="J1210" s="3" t="str">
        <f>HYPERLINK("https://www.boe.es/gazeta/dias/1817/03/25/pdfs/GMD-1817-36.pdf#page=4","Abrir facsímil")</f>
        <v>Abrir facsímil</v>
      </c>
      <c r="K1210" s="3" t="s">
        <v>23</v>
      </c>
    </row>
    <row r="1211" spans="1:11" ht="42" customHeight="1">
      <c r="A1211" s="2" t="s">
        <v>3117</v>
      </c>
      <c r="B1211" s="2" t="s">
        <v>3117</v>
      </c>
      <c r="C1211" s="2" t="s">
        <v>36</v>
      </c>
      <c r="D1211" s="2" t="s">
        <v>37</v>
      </c>
      <c r="E1211" s="5">
        <v>-30177</v>
      </c>
      <c r="F1211" s="3" t="s">
        <v>633</v>
      </c>
      <c r="G1211" s="3" t="s">
        <v>629</v>
      </c>
      <c r="H1211" s="2" t="s">
        <v>21</v>
      </c>
      <c r="I1211" s="2" t="s">
        <v>3118</v>
      </c>
      <c r="J1211" s="3" t="str">
        <f>HYPERLINK("https://www.boe.es/gazeta/dias/1817/05/17/pdfs/GMD-1817-59.pdf#page=2","Abrir facsímil")</f>
        <v>Abrir facsímil</v>
      </c>
      <c r="K1211" s="3" t="s">
        <v>23</v>
      </c>
    </row>
    <row r="1212" spans="1:11" ht="42" customHeight="1">
      <c r="A1212" s="2" t="s">
        <v>3119</v>
      </c>
      <c r="B1212" s="2" t="s">
        <v>3119</v>
      </c>
      <c r="C1212" s="2" t="s">
        <v>36</v>
      </c>
      <c r="D1212" s="2" t="s">
        <v>37</v>
      </c>
      <c r="E1212" s="5">
        <v>-30254</v>
      </c>
      <c r="F1212" s="3" t="s">
        <v>124</v>
      </c>
      <c r="G1212" s="3" t="s">
        <v>57</v>
      </c>
      <c r="H1212" s="2" t="s">
        <v>21</v>
      </c>
      <c r="I1212" s="2" t="s">
        <v>3120</v>
      </c>
      <c r="J1212" s="3" t="str">
        <f>HYPERLINK("https://www.boe.es/gazeta/dias/1817/03/01/pdfs/GMD-1817-26.pdf#page=6","Abrir facsímil")</f>
        <v>Abrir facsímil</v>
      </c>
      <c r="K1212" s="3" t="s">
        <v>23</v>
      </c>
    </row>
    <row r="1213" spans="1:11" ht="42" customHeight="1">
      <c r="A1213" s="2" t="s">
        <v>3121</v>
      </c>
      <c r="B1213" s="2" t="s">
        <v>3122</v>
      </c>
      <c r="C1213" s="2" t="s">
        <v>36</v>
      </c>
      <c r="D1213" s="2" t="s">
        <v>37</v>
      </c>
      <c r="E1213" s="5">
        <v>-30048</v>
      </c>
      <c r="F1213" s="3" t="s">
        <v>573</v>
      </c>
      <c r="G1213" s="3" t="s">
        <v>20</v>
      </c>
      <c r="H1213" s="2" t="s">
        <v>21</v>
      </c>
      <c r="I1213" s="2" t="s">
        <v>3123</v>
      </c>
      <c r="J1213" s="3" t="str">
        <f>HYPERLINK("https://www.boe.es/gazeta/dias/1817/09/23/pdfs/GMD-1817-114.pdf#page=7","Abrir facsímil")</f>
        <v>Abrir facsímil</v>
      </c>
      <c r="K1213" s="3" t="s">
        <v>23</v>
      </c>
    </row>
    <row r="1214" spans="1:11" ht="42" customHeight="1">
      <c r="A1214" s="2" t="s">
        <v>3124</v>
      </c>
      <c r="B1214" s="2" t="s">
        <v>3125</v>
      </c>
      <c r="C1214" s="2" t="s">
        <v>43</v>
      </c>
      <c r="D1214" s="2" t="s">
        <v>44</v>
      </c>
      <c r="E1214" s="5">
        <v>-30097</v>
      </c>
      <c r="F1214" s="3" t="s">
        <v>156</v>
      </c>
      <c r="G1214" s="3" t="s">
        <v>1596</v>
      </c>
      <c r="H1214" s="2" t="s">
        <v>21</v>
      </c>
      <c r="I1214" s="2" t="s">
        <v>3126</v>
      </c>
      <c r="J1214" s="3" t="str">
        <f>HYPERLINK("https://www.boe.es/gazeta/dias/1817/08/05/pdfs/GMD-1817-93.pdf#page=6","Abrir facsímil")</f>
        <v>Abrir facsímil</v>
      </c>
      <c r="K1214" s="3" t="s">
        <v>23</v>
      </c>
    </row>
    <row r="1215" spans="1:11" ht="42" customHeight="1">
      <c r="A1215" s="2" t="s">
        <v>3127</v>
      </c>
      <c r="B1215" s="2" t="s">
        <v>3128</v>
      </c>
      <c r="C1215" s="2" t="s">
        <v>36</v>
      </c>
      <c r="D1215" s="2" t="s">
        <v>37</v>
      </c>
      <c r="E1215" s="5">
        <v>-30188</v>
      </c>
      <c r="F1215" s="3" t="s">
        <v>177</v>
      </c>
      <c r="G1215" s="3" t="s">
        <v>39</v>
      </c>
      <c r="H1215" s="2" t="s">
        <v>21</v>
      </c>
      <c r="I1215" s="2" t="s">
        <v>3129</v>
      </c>
      <c r="J1215" s="3" t="str">
        <f>HYPERLINK("https://www.boe.es/gazeta/dias/1817/05/06/pdfs/GMD-1817-54.pdf#page=5","Abrir facsímil")</f>
        <v>Abrir facsímil</v>
      </c>
      <c r="K1215" s="3" t="s">
        <v>23</v>
      </c>
    </row>
    <row r="1216" spans="1:11" ht="42" customHeight="1">
      <c r="A1216" s="2" t="s">
        <v>3130</v>
      </c>
      <c r="B1216" s="2" t="s">
        <v>3131</v>
      </c>
      <c r="C1216" s="2" t="s">
        <v>43</v>
      </c>
      <c r="D1216" s="2" t="s">
        <v>44</v>
      </c>
      <c r="E1216" s="5">
        <v>-30090</v>
      </c>
      <c r="F1216" s="3" t="s">
        <v>89</v>
      </c>
      <c r="G1216" s="3" t="s">
        <v>77</v>
      </c>
      <c r="H1216" s="2" t="s">
        <v>21</v>
      </c>
      <c r="I1216" s="2" t="s">
        <v>3132</v>
      </c>
      <c r="J1216" s="3" t="str">
        <f>HYPERLINK("https://www.boe.es/gazeta/dias/1817/08/12/pdfs/GMD-1817-96.pdf#page=8","Abrir facsímil")</f>
        <v>Abrir facsímil</v>
      </c>
      <c r="K1216" s="3" t="s">
        <v>23</v>
      </c>
    </row>
    <row r="1217" spans="1:11" ht="42" customHeight="1">
      <c r="A1217" s="2" t="s">
        <v>3133</v>
      </c>
      <c r="B1217" s="2" t="s">
        <v>3133</v>
      </c>
      <c r="C1217" s="2" t="s">
        <v>36</v>
      </c>
      <c r="D1217" s="2" t="s">
        <v>37</v>
      </c>
      <c r="E1217" s="5">
        <v>-30205</v>
      </c>
      <c r="F1217" s="3" t="s">
        <v>139</v>
      </c>
      <c r="G1217" s="3" t="s">
        <v>20</v>
      </c>
      <c r="H1217" s="2" t="s">
        <v>21</v>
      </c>
      <c r="I1217" s="2" t="s">
        <v>3134</v>
      </c>
      <c r="J1217" s="3" t="str">
        <f>HYPERLINK("https://www.boe.es/gazeta/dias/1817/04/19/pdfs/GMD-1817-47.pdf#page=7","Abrir facsímil")</f>
        <v>Abrir facsímil</v>
      </c>
      <c r="K1217" s="3" t="s">
        <v>23</v>
      </c>
    </row>
    <row r="1218" spans="1:11" ht="42" customHeight="1">
      <c r="A1218" s="2" t="s">
        <v>3135</v>
      </c>
      <c r="B1218" s="2" t="s">
        <v>3136</v>
      </c>
      <c r="C1218" s="2" t="s">
        <v>49</v>
      </c>
      <c r="D1218" s="2" t="s">
        <v>44</v>
      </c>
      <c r="E1218" s="5">
        <v>-30142</v>
      </c>
      <c r="F1218" s="3" t="s">
        <v>286</v>
      </c>
      <c r="G1218" s="3" t="s">
        <v>144</v>
      </c>
      <c r="H1218" s="2" t="s">
        <v>21</v>
      </c>
      <c r="I1218" s="2" t="s">
        <v>3137</v>
      </c>
      <c r="J1218" s="3" t="str">
        <f>HYPERLINK("https://www.boe.es/gazeta/dias/1817/06/21/pdfs/GMD-1817-74.pdf#page=4","Abrir facsímil")</f>
        <v>Abrir facsímil</v>
      </c>
      <c r="K1218" s="3" t="s">
        <v>23</v>
      </c>
    </row>
    <row r="1219" spans="1:11" ht="42" customHeight="1">
      <c r="A1219" s="2" t="s">
        <v>3138</v>
      </c>
      <c r="B1219" s="2" t="s">
        <v>3139</v>
      </c>
      <c r="C1219" s="2" t="s">
        <v>36</v>
      </c>
      <c r="D1219" s="2" t="s">
        <v>37</v>
      </c>
      <c r="E1219" s="5">
        <v>-30107</v>
      </c>
      <c r="F1219" s="3" t="s">
        <v>307</v>
      </c>
      <c r="G1219" s="3" t="s">
        <v>3140</v>
      </c>
      <c r="H1219" s="2" t="s">
        <v>21</v>
      </c>
      <c r="I1219" s="2" t="s">
        <v>3141</v>
      </c>
      <c r="J1219" s="3" t="str">
        <f>HYPERLINK("https://www.boe.es/gazeta/dias/1817/07/26/pdfs/GMD-1817-89.pdf#page=7","Abrir facsímil")</f>
        <v>Abrir facsímil</v>
      </c>
      <c r="K1219" s="3" t="s">
        <v>23</v>
      </c>
    </row>
    <row r="1220" spans="1:11" ht="42" customHeight="1">
      <c r="A1220" s="2" t="s">
        <v>3142</v>
      </c>
      <c r="B1220" s="2" t="s">
        <v>3143</v>
      </c>
      <c r="C1220" s="2" t="s">
        <v>17</v>
      </c>
      <c r="D1220" s="2" t="s">
        <v>18</v>
      </c>
      <c r="E1220" s="5">
        <v>-30114</v>
      </c>
      <c r="F1220" s="3" t="s">
        <v>500</v>
      </c>
      <c r="G1220" s="3" t="s">
        <v>915</v>
      </c>
      <c r="H1220" s="2" t="s">
        <v>21</v>
      </c>
      <c r="I1220" s="2" t="s">
        <v>3144</v>
      </c>
      <c r="J1220" s="3" t="str">
        <f>HYPERLINK("https://www.boe.es/gazeta/dias/1817/07/19/pdfs/GMD-1817-86.pdf#page=6","Abrir facsímil")</f>
        <v>Abrir facsímil</v>
      </c>
      <c r="K1220" s="3" t="s">
        <v>23</v>
      </c>
    </row>
    <row r="1221" spans="1:11" ht="42" customHeight="1">
      <c r="A1221" s="2" t="s">
        <v>3145</v>
      </c>
      <c r="B1221" s="2" t="s">
        <v>3146</v>
      </c>
      <c r="C1221" s="2" t="s">
        <v>17</v>
      </c>
      <c r="D1221" s="2" t="s">
        <v>18</v>
      </c>
      <c r="E1221" s="5">
        <v>-30065</v>
      </c>
      <c r="F1221" s="3" t="s">
        <v>201</v>
      </c>
      <c r="G1221" s="3" t="s">
        <v>57</v>
      </c>
      <c r="H1221" s="2" t="s">
        <v>21</v>
      </c>
      <c r="I1221" s="2" t="s">
        <v>3147</v>
      </c>
      <c r="J1221" s="3" t="str">
        <f>HYPERLINK("https://www.boe.es/gazeta/dias/1817/09/06/pdfs/GMD-1817-107.pdf#page=6","Abrir facsímil")</f>
        <v>Abrir facsímil</v>
      </c>
      <c r="K1221" s="3" t="s">
        <v>23</v>
      </c>
    </row>
    <row r="1222" spans="1:11" ht="42" customHeight="1">
      <c r="A1222" s="2" t="s">
        <v>3148</v>
      </c>
      <c r="B1222" s="2" t="s">
        <v>3149</v>
      </c>
      <c r="C1222" s="2" t="s">
        <v>36</v>
      </c>
      <c r="D1222" s="2" t="s">
        <v>37</v>
      </c>
      <c r="E1222" s="5">
        <v>-30221</v>
      </c>
      <c r="F1222" s="3" t="s">
        <v>256</v>
      </c>
      <c r="G1222" s="3" t="s">
        <v>77</v>
      </c>
      <c r="H1222" s="2" t="s">
        <v>21</v>
      </c>
      <c r="I1222" s="2" t="s">
        <v>3150</v>
      </c>
      <c r="J1222" s="3" t="str">
        <f>HYPERLINK("https://www.boe.es/gazeta/dias/1817/04/03/pdfs/GMD-1817-40.pdf#page=8","Abrir facsímil")</f>
        <v>Abrir facsímil</v>
      </c>
      <c r="K1222" s="3" t="s">
        <v>23</v>
      </c>
    </row>
    <row r="1223" spans="1:11" ht="42" customHeight="1">
      <c r="A1223" s="2" t="s">
        <v>3148</v>
      </c>
      <c r="B1223" s="2" t="s">
        <v>3149</v>
      </c>
      <c r="C1223" s="2" t="s">
        <v>17</v>
      </c>
      <c r="D1223" s="2" t="s">
        <v>18</v>
      </c>
      <c r="E1223" s="5">
        <v>-30137</v>
      </c>
      <c r="F1223" s="3" t="s">
        <v>935</v>
      </c>
      <c r="G1223" s="3" t="s">
        <v>39</v>
      </c>
      <c r="H1223" s="2" t="s">
        <v>21</v>
      </c>
      <c r="I1223" s="2" t="s">
        <v>3151</v>
      </c>
      <c r="J1223" s="3" t="str">
        <f>HYPERLINK("https://www.boe.es/gazeta/dias/1817/06/26/pdfs/GMD-1817-76.pdf#page=5","Abrir facsímil")</f>
        <v>Abrir facsímil</v>
      </c>
      <c r="K1223" s="3" t="s">
        <v>23</v>
      </c>
    </row>
    <row r="1224" spans="1:11" ht="42" customHeight="1">
      <c r="A1224" s="2" t="s">
        <v>3152</v>
      </c>
      <c r="B1224" s="2" t="s">
        <v>3153</v>
      </c>
      <c r="C1224" s="2" t="s">
        <v>36</v>
      </c>
      <c r="D1224" s="2" t="s">
        <v>37</v>
      </c>
      <c r="E1224" s="5">
        <v>-30142</v>
      </c>
      <c r="F1224" s="3" t="s">
        <v>286</v>
      </c>
      <c r="G1224" s="3" t="s">
        <v>39</v>
      </c>
      <c r="H1224" s="2" t="s">
        <v>21</v>
      </c>
      <c r="I1224" s="2" t="s">
        <v>3154</v>
      </c>
      <c r="J1224" s="3" t="str">
        <f>HYPERLINK("https://www.boe.es/gazeta/dias/1817/06/21/pdfs/GMD-1817-74.pdf#page=5","Abrir facsímil")</f>
        <v>Abrir facsímil</v>
      </c>
      <c r="K1224" s="3" t="s">
        <v>23</v>
      </c>
    </row>
    <row r="1225" spans="1:11" ht="42" customHeight="1">
      <c r="A1225" s="2" t="s">
        <v>3155</v>
      </c>
      <c r="B1225" s="2" t="s">
        <v>3156</v>
      </c>
      <c r="C1225" s="2" t="s">
        <v>49</v>
      </c>
      <c r="D1225" s="2" t="s">
        <v>44</v>
      </c>
      <c r="E1225" s="5">
        <v>-30151</v>
      </c>
      <c r="F1225" s="3" t="s">
        <v>1422</v>
      </c>
      <c r="G1225" s="3" t="s">
        <v>77</v>
      </c>
      <c r="H1225" s="2" t="s">
        <v>21</v>
      </c>
      <c r="I1225" s="2" t="s">
        <v>3157</v>
      </c>
      <c r="J1225" s="3" t="str">
        <f>HYPERLINK("https://www.boe.es/gazeta/dias/1817/06/12/pdfs/GMD-1817-70.pdf#page=8","Abrir facsímil")</f>
        <v>Abrir facsímil</v>
      </c>
      <c r="K1225" s="3" t="s">
        <v>23</v>
      </c>
    </row>
    <row r="1226" spans="1:11" ht="42" customHeight="1">
      <c r="A1226" s="2" t="s">
        <v>3158</v>
      </c>
      <c r="B1226" s="2" t="s">
        <v>3159</v>
      </c>
      <c r="C1226" s="2" t="s">
        <v>43</v>
      </c>
      <c r="D1226" s="2" t="s">
        <v>44</v>
      </c>
      <c r="E1226" s="5">
        <v>-30151</v>
      </c>
      <c r="F1226" s="3" t="s">
        <v>1422</v>
      </c>
      <c r="G1226" s="3" t="s">
        <v>77</v>
      </c>
      <c r="H1226" s="2" t="s">
        <v>21</v>
      </c>
      <c r="I1226" s="2" t="s">
        <v>3160</v>
      </c>
      <c r="J1226" s="3" t="str">
        <f>HYPERLINK("https://www.boe.es/gazeta/dias/1817/06/12/pdfs/GMD-1817-70.pdf#page=8","Abrir facsímil")</f>
        <v>Abrir facsímil</v>
      </c>
      <c r="K1226" s="3" t="s">
        <v>23</v>
      </c>
    </row>
    <row r="1227" spans="1:11" ht="42" customHeight="1">
      <c r="A1227" s="2" t="s">
        <v>3158</v>
      </c>
      <c r="B1227" s="2" t="s">
        <v>3159</v>
      </c>
      <c r="C1227" s="2" t="s">
        <v>55</v>
      </c>
      <c r="D1227" s="2" t="s">
        <v>44</v>
      </c>
      <c r="E1227" s="5">
        <v>-30139</v>
      </c>
      <c r="F1227" s="3" t="s">
        <v>993</v>
      </c>
      <c r="G1227" s="3" t="s">
        <v>77</v>
      </c>
      <c r="H1227" s="2" t="s">
        <v>21</v>
      </c>
      <c r="I1227" s="2" t="s">
        <v>3161</v>
      </c>
      <c r="J1227" s="3" t="str">
        <f>HYPERLINK("https://www.boe.es/gazeta/dias/1817/06/24/pdfs/GMD-1817-75.pdf#page=8","Abrir facsímil")</f>
        <v>Abrir facsímil</v>
      </c>
      <c r="K1227" s="3" t="s">
        <v>23</v>
      </c>
    </row>
    <row r="1228" spans="1:11" ht="42" customHeight="1">
      <c r="A1228" s="2" t="s">
        <v>3162</v>
      </c>
      <c r="B1228" s="2" t="s">
        <v>3163</v>
      </c>
      <c r="C1228" s="2" t="s">
        <v>17</v>
      </c>
      <c r="D1228" s="2" t="s">
        <v>18</v>
      </c>
      <c r="E1228" s="5">
        <v>-30086</v>
      </c>
      <c r="F1228" s="3" t="s">
        <v>221</v>
      </c>
      <c r="G1228" s="3" t="s">
        <v>222</v>
      </c>
      <c r="H1228" s="2" t="s">
        <v>27</v>
      </c>
      <c r="I1228" s="2" t="s">
        <v>3164</v>
      </c>
      <c r="J1228" s="3" t="str">
        <f>HYPERLINK("https://www.boe.es/gazeta/dias/1817/08/16/pdfs/GMD-1817-98.pdf#page=8","Abrir facsímil")</f>
        <v>Abrir facsímil</v>
      </c>
      <c r="K1228" s="3" t="s">
        <v>29</v>
      </c>
    </row>
    <row r="1229" spans="1:11" ht="42" customHeight="1">
      <c r="A1229" s="2" t="s">
        <v>3165</v>
      </c>
      <c r="B1229" s="2" t="s">
        <v>3166</v>
      </c>
      <c r="C1229" s="2" t="s">
        <v>36</v>
      </c>
      <c r="D1229" s="2" t="s">
        <v>37</v>
      </c>
      <c r="E1229" s="5">
        <v>-30307</v>
      </c>
      <c r="F1229" s="3" t="s">
        <v>67</v>
      </c>
      <c r="G1229" s="3" t="s">
        <v>68</v>
      </c>
      <c r="H1229" s="2" t="s">
        <v>27</v>
      </c>
      <c r="I1229" s="2" t="s">
        <v>3167</v>
      </c>
      <c r="J1229" s="3" t="str">
        <f>HYPERLINK("https://www.boe.es/gazeta/dias/1817/01/07/pdfs/GMD-1817-3.pdf#page=8","Abrir facsímil")</f>
        <v>Abrir facsímil</v>
      </c>
      <c r="K1229" s="3" t="s">
        <v>29</v>
      </c>
    </row>
    <row r="1230" spans="1:11" ht="42" customHeight="1">
      <c r="A1230" s="2" t="s">
        <v>3168</v>
      </c>
      <c r="B1230" s="2" t="s">
        <v>3169</v>
      </c>
      <c r="C1230" s="2" t="s">
        <v>49</v>
      </c>
      <c r="D1230" s="2" t="s">
        <v>44</v>
      </c>
      <c r="E1230" s="5">
        <v>-29992</v>
      </c>
      <c r="F1230" s="3" t="s">
        <v>50</v>
      </c>
      <c r="G1230" s="3" t="s">
        <v>51</v>
      </c>
      <c r="H1230" s="2" t="s">
        <v>21</v>
      </c>
      <c r="I1230" s="2" t="s">
        <v>3170</v>
      </c>
      <c r="J1230" s="3" t="str">
        <f>HYPERLINK("https://www.boe.es/gazeta/dias/1817/11/18/pdfs/GMD-1817-138.pdf#page=8","Abrir facsímil")</f>
        <v>Abrir facsímil</v>
      </c>
      <c r="K1230" s="3" t="s">
        <v>23</v>
      </c>
    </row>
    <row r="1231" spans="1:11" ht="42" customHeight="1">
      <c r="A1231" s="2" t="s">
        <v>3171</v>
      </c>
      <c r="B1231" s="2" t="s">
        <v>3172</v>
      </c>
      <c r="C1231" s="2" t="s">
        <v>36</v>
      </c>
      <c r="D1231" s="2" t="s">
        <v>37</v>
      </c>
      <c r="E1231" s="5">
        <v>-30310</v>
      </c>
      <c r="F1231" s="3" t="s">
        <v>93</v>
      </c>
      <c r="G1231" s="3" t="s">
        <v>57</v>
      </c>
      <c r="H1231" s="2" t="s">
        <v>21</v>
      </c>
      <c r="I1231" s="2" t="s">
        <v>3173</v>
      </c>
      <c r="J1231" s="3" t="str">
        <f>HYPERLINK("https://www.boe.es/gazeta/dias/1817/01/04/pdfs/GMD-1817-2.pdf#page=6","Abrir facsímil")</f>
        <v>Abrir facsímil</v>
      </c>
      <c r="K1231" s="3" t="s">
        <v>23</v>
      </c>
    </row>
    <row r="1232" spans="1:11" ht="42" customHeight="1">
      <c r="A1232" s="2" t="s">
        <v>3171</v>
      </c>
      <c r="B1232" s="2" t="s">
        <v>3172</v>
      </c>
      <c r="C1232" s="2" t="s">
        <v>36</v>
      </c>
      <c r="D1232" s="2" t="s">
        <v>37</v>
      </c>
      <c r="E1232" s="5">
        <v>-30095</v>
      </c>
      <c r="F1232" s="3" t="s">
        <v>365</v>
      </c>
      <c r="G1232" s="3" t="s">
        <v>39</v>
      </c>
      <c r="H1232" s="2" t="s">
        <v>21</v>
      </c>
      <c r="I1232" s="2" t="s">
        <v>3174</v>
      </c>
      <c r="J1232" s="3" t="str">
        <f>HYPERLINK("https://www.boe.es/gazeta/dias/1817/08/07/pdfs/GMD-1817-94.pdf#page=5","Abrir facsímil")</f>
        <v>Abrir facsímil</v>
      </c>
      <c r="K1232" s="3" t="s">
        <v>23</v>
      </c>
    </row>
    <row r="1233" spans="1:11" ht="42" customHeight="1">
      <c r="A1233" s="2" t="s">
        <v>3175</v>
      </c>
      <c r="B1233" s="2" t="s">
        <v>3176</v>
      </c>
      <c r="C1233" s="2" t="s">
        <v>36</v>
      </c>
      <c r="D1233" s="2" t="s">
        <v>37</v>
      </c>
      <c r="E1233" s="5">
        <v>-29969</v>
      </c>
      <c r="F1233" s="3" t="s">
        <v>252</v>
      </c>
      <c r="G1233" s="3" t="s">
        <v>314</v>
      </c>
      <c r="H1233" s="2" t="s">
        <v>21</v>
      </c>
      <c r="I1233" s="2" t="s">
        <v>3177</v>
      </c>
      <c r="J1233" s="3" t="str">
        <f>HYPERLINK("https://www.boe.es/gazeta/dias/1817/12/11/pdfs/GMD-1817-148.pdf#page=10","Abrir facsímil")</f>
        <v>Abrir facsímil</v>
      </c>
      <c r="K1233" s="3" t="s">
        <v>23</v>
      </c>
    </row>
    <row r="1234" spans="1:11" ht="42" customHeight="1">
      <c r="A1234" s="2" t="s">
        <v>3178</v>
      </c>
      <c r="B1234" s="2" t="s">
        <v>3178</v>
      </c>
      <c r="C1234" s="2" t="s">
        <v>138</v>
      </c>
      <c r="D1234" s="2" t="s">
        <v>44</v>
      </c>
      <c r="E1234" s="5">
        <v>-30128</v>
      </c>
      <c r="F1234" s="3" t="s">
        <v>761</v>
      </c>
      <c r="G1234" s="3" t="s">
        <v>551</v>
      </c>
      <c r="H1234" s="2" t="s">
        <v>21</v>
      </c>
      <c r="I1234" s="2" t="s">
        <v>3179</v>
      </c>
      <c r="J1234" s="3" t="str">
        <f>HYPERLINK("https://www.boe.es/gazeta/dias/1817/07/05/pdfs/GMD-1817-80.pdf#page=3","Abrir facsímil")</f>
        <v>Abrir facsímil</v>
      </c>
      <c r="K1234" s="3" t="s">
        <v>23</v>
      </c>
    </row>
    <row r="1235" spans="1:11" ht="42" customHeight="1">
      <c r="A1235" s="2" t="s">
        <v>3180</v>
      </c>
      <c r="B1235" s="2" t="s">
        <v>3180</v>
      </c>
      <c r="C1235" s="2" t="s">
        <v>138</v>
      </c>
      <c r="D1235" s="2" t="s">
        <v>44</v>
      </c>
      <c r="E1235" s="5">
        <v>-30275</v>
      </c>
      <c r="F1235" s="3" t="s">
        <v>1025</v>
      </c>
      <c r="G1235" s="3" t="s">
        <v>551</v>
      </c>
      <c r="H1235" s="2" t="s">
        <v>21</v>
      </c>
      <c r="I1235" s="2" t="s">
        <v>3181</v>
      </c>
      <c r="J1235" s="3" t="str">
        <f>HYPERLINK("https://www.boe.es/gazeta/dias/1817/02/08/pdfs/GMD-1817-17.pdf#page=3","Abrir facsímil")</f>
        <v>Abrir facsímil</v>
      </c>
      <c r="K1235" s="3" t="s">
        <v>23</v>
      </c>
    </row>
    <row r="1236" spans="1:11" ht="42" customHeight="1">
      <c r="A1236" s="2" t="s">
        <v>3182</v>
      </c>
      <c r="B1236" s="2" t="s">
        <v>3182</v>
      </c>
      <c r="C1236" s="2" t="s">
        <v>36</v>
      </c>
      <c r="D1236" s="2" t="s">
        <v>37</v>
      </c>
      <c r="E1236" s="5">
        <v>-30053</v>
      </c>
      <c r="F1236" s="3" t="s">
        <v>129</v>
      </c>
      <c r="G1236" s="3" t="s">
        <v>112</v>
      </c>
      <c r="H1236" s="2" t="s">
        <v>21</v>
      </c>
      <c r="I1236" s="2" t="s">
        <v>3183</v>
      </c>
      <c r="J1236" s="3" t="str">
        <f>HYPERLINK("https://www.boe.es/gazeta/dias/1817/09/18/pdfs/GMD-1817-112.pdf#page=11","Abrir facsímil")</f>
        <v>Abrir facsímil</v>
      </c>
      <c r="K1236" s="3" t="s">
        <v>23</v>
      </c>
    </row>
    <row r="1237" spans="1:11" ht="42" customHeight="1">
      <c r="A1237" s="2" t="s">
        <v>3184</v>
      </c>
      <c r="B1237" s="2" t="s">
        <v>3185</v>
      </c>
      <c r="C1237" s="2" t="s">
        <v>17</v>
      </c>
      <c r="D1237" s="2" t="s">
        <v>18</v>
      </c>
      <c r="E1237" s="5">
        <v>-30265</v>
      </c>
      <c r="F1237" s="3" t="s">
        <v>107</v>
      </c>
      <c r="G1237" s="3" t="s">
        <v>77</v>
      </c>
      <c r="H1237" s="2" t="s">
        <v>21</v>
      </c>
      <c r="I1237" s="2" t="s">
        <v>3186</v>
      </c>
      <c r="J1237" s="3" t="str">
        <f>HYPERLINK("https://www.boe.es/gazeta/dias/1817/02/18/pdfs/GMD-1817-21.pdf#page=8","Abrir facsímil")</f>
        <v>Abrir facsímil</v>
      </c>
      <c r="K1237" s="3" t="s">
        <v>23</v>
      </c>
    </row>
    <row r="1238" spans="1:11" ht="42" customHeight="1">
      <c r="A1238" s="2" t="s">
        <v>3187</v>
      </c>
      <c r="B1238" s="2" t="s">
        <v>3188</v>
      </c>
      <c r="C1238" s="2" t="s">
        <v>43</v>
      </c>
      <c r="D1238" s="2" t="s">
        <v>44</v>
      </c>
      <c r="E1238" s="5">
        <v>-30125</v>
      </c>
      <c r="F1238" s="3" t="s">
        <v>102</v>
      </c>
      <c r="G1238" s="3" t="s">
        <v>887</v>
      </c>
      <c r="H1238" s="2" t="s">
        <v>21</v>
      </c>
      <c r="I1238" s="2" t="s">
        <v>3189</v>
      </c>
      <c r="J1238" s="3" t="str">
        <f>HYPERLINK("https://www.boe.es/gazeta/dias/1817/07/08/pdfs/GMD-1817-81.pdf#page=9","Abrir facsímil")</f>
        <v>Abrir facsímil</v>
      </c>
      <c r="K1238" s="3" t="s">
        <v>23</v>
      </c>
    </row>
    <row r="1239" spans="1:11" ht="42" customHeight="1">
      <c r="A1239" s="2" t="s">
        <v>3187</v>
      </c>
      <c r="B1239" s="2" t="s">
        <v>3188</v>
      </c>
      <c r="C1239" s="2" t="s">
        <v>36</v>
      </c>
      <c r="D1239" s="2" t="s">
        <v>37</v>
      </c>
      <c r="E1239" s="5">
        <v>-30095</v>
      </c>
      <c r="F1239" s="3" t="s">
        <v>365</v>
      </c>
      <c r="G1239" s="3" t="s">
        <v>39</v>
      </c>
      <c r="H1239" s="2" t="s">
        <v>21</v>
      </c>
      <c r="I1239" s="2" t="s">
        <v>3190</v>
      </c>
      <c r="J1239" s="3" t="str">
        <f>HYPERLINK("https://www.boe.es/gazeta/dias/1817/08/07/pdfs/GMD-1817-94.pdf#page=5","Abrir facsímil")</f>
        <v>Abrir facsímil</v>
      </c>
      <c r="K1239" s="3" t="s">
        <v>23</v>
      </c>
    </row>
    <row r="1240" spans="1:11" ht="42" customHeight="1">
      <c r="A1240" s="2" t="s">
        <v>3191</v>
      </c>
      <c r="B1240" s="2" t="s">
        <v>3192</v>
      </c>
      <c r="C1240" s="2" t="s">
        <v>55</v>
      </c>
      <c r="D1240" s="2" t="s">
        <v>44</v>
      </c>
      <c r="E1240" s="5">
        <v>-29974</v>
      </c>
      <c r="F1240" s="3" t="s">
        <v>32</v>
      </c>
      <c r="G1240" s="3" t="s">
        <v>20</v>
      </c>
      <c r="H1240" s="2" t="s">
        <v>21</v>
      </c>
      <c r="I1240" s="2" t="s">
        <v>3193</v>
      </c>
      <c r="J1240" s="3" t="str">
        <f>HYPERLINK("https://www.boe.es/gazeta/dias/1817/12/06/pdfs/GMD-1817-146.pdf#page=7","Abrir facsímil")</f>
        <v>Abrir facsímil</v>
      </c>
      <c r="K1240" s="3" t="s">
        <v>23</v>
      </c>
    </row>
    <row r="1241" spans="1:11" ht="42" customHeight="1">
      <c r="A1241" s="2" t="s">
        <v>3194</v>
      </c>
      <c r="B1241" s="2" t="s">
        <v>3195</v>
      </c>
      <c r="C1241" s="2" t="s">
        <v>49</v>
      </c>
      <c r="D1241" s="2" t="s">
        <v>44</v>
      </c>
      <c r="E1241" s="5">
        <v>-30100</v>
      </c>
      <c r="F1241" s="3" t="s">
        <v>436</v>
      </c>
      <c r="G1241" s="3" t="s">
        <v>20</v>
      </c>
      <c r="H1241" s="2" t="s">
        <v>21</v>
      </c>
      <c r="I1241" s="2" t="s">
        <v>3196</v>
      </c>
      <c r="J1241" s="3" t="str">
        <f>HYPERLINK("https://www.boe.es/gazeta/dias/1817/08/02/pdfs/GMD-1817-92.pdf#page=7","Abrir facsímil")</f>
        <v>Abrir facsímil</v>
      </c>
      <c r="K1241" s="3" t="s">
        <v>23</v>
      </c>
    </row>
    <row r="1242" spans="1:11" ht="42" customHeight="1">
      <c r="A1242" s="2" t="s">
        <v>3197</v>
      </c>
      <c r="B1242" s="2" t="s">
        <v>3198</v>
      </c>
      <c r="C1242" s="2" t="s">
        <v>17</v>
      </c>
      <c r="D1242" s="2" t="s">
        <v>18</v>
      </c>
      <c r="E1242" s="5">
        <v>-30291</v>
      </c>
      <c r="F1242" s="3" t="s">
        <v>1041</v>
      </c>
      <c r="G1242" s="3" t="s">
        <v>39</v>
      </c>
      <c r="H1242" s="2" t="s">
        <v>21</v>
      </c>
      <c r="I1242" s="2" t="s">
        <v>3199</v>
      </c>
      <c r="J1242" s="3" t="str">
        <f>HYPERLINK("https://www.boe.es/gazeta/dias/1817/01/23/pdfs/GMD-1817-10.pdf#page=5","Abrir facsímil")</f>
        <v>Abrir facsímil</v>
      </c>
      <c r="K1242" s="3" t="s">
        <v>23</v>
      </c>
    </row>
    <row r="1243" spans="1:11" ht="42" customHeight="1">
      <c r="A1243" s="2" t="s">
        <v>3200</v>
      </c>
      <c r="B1243" s="2" t="s">
        <v>3200</v>
      </c>
      <c r="C1243" s="2" t="s">
        <v>36</v>
      </c>
      <c r="D1243" s="2" t="s">
        <v>37</v>
      </c>
      <c r="E1243" s="5">
        <v>-30202</v>
      </c>
      <c r="F1243" s="3" t="s">
        <v>418</v>
      </c>
      <c r="G1243" s="3" t="s">
        <v>77</v>
      </c>
      <c r="H1243" s="2" t="s">
        <v>21</v>
      </c>
      <c r="I1243" s="2" t="s">
        <v>3201</v>
      </c>
      <c r="J1243" s="3" t="str">
        <f>HYPERLINK("https://www.boe.es/gazeta/dias/1817/04/22/pdfs/GMD-1817-48.pdf#page=8","Abrir facsímil")</f>
        <v>Abrir facsímil</v>
      </c>
      <c r="K1243" s="3" t="s">
        <v>23</v>
      </c>
    </row>
    <row r="1244" spans="1:11" ht="42" customHeight="1">
      <c r="A1244" s="2" t="s">
        <v>3202</v>
      </c>
      <c r="B1244" s="2" t="s">
        <v>3203</v>
      </c>
      <c r="C1244" s="2" t="s">
        <v>43</v>
      </c>
      <c r="D1244" s="2" t="s">
        <v>44</v>
      </c>
      <c r="E1244" s="5">
        <v>-30286</v>
      </c>
      <c r="F1244" s="3" t="s">
        <v>354</v>
      </c>
      <c r="G1244" s="3" t="s">
        <v>1580</v>
      </c>
      <c r="H1244" s="2" t="s">
        <v>27</v>
      </c>
      <c r="I1244" s="2" t="s">
        <v>3204</v>
      </c>
      <c r="J1244" s="3" t="str">
        <f>HYPERLINK("https://www.boe.es/gazeta/dias/1817/01/28/pdfs/GMD-1817-12.pdf#page=5","Abrir facsímil")</f>
        <v>Abrir facsímil</v>
      </c>
      <c r="K1244" s="3" t="s">
        <v>29</v>
      </c>
    </row>
    <row r="1245" spans="1:11" ht="42" customHeight="1">
      <c r="A1245" s="2" t="s">
        <v>3205</v>
      </c>
      <c r="B1245" s="2" t="s">
        <v>3205</v>
      </c>
      <c r="C1245" s="2" t="s">
        <v>36</v>
      </c>
      <c r="D1245" s="2" t="s">
        <v>37</v>
      </c>
      <c r="E1245" s="5">
        <v>-30270</v>
      </c>
      <c r="F1245" s="3" t="s">
        <v>341</v>
      </c>
      <c r="G1245" s="3" t="s">
        <v>551</v>
      </c>
      <c r="H1245" s="2" t="s">
        <v>21</v>
      </c>
      <c r="I1245" s="2" t="s">
        <v>3206</v>
      </c>
      <c r="J1245" s="3" t="str">
        <f>HYPERLINK("https://www.boe.es/gazeta/dias/1817/02/13/pdfs/GMD-1817-19.pdf#page=3","Abrir facsímil")</f>
        <v>Abrir facsímil</v>
      </c>
      <c r="K1245" s="3" t="s">
        <v>23</v>
      </c>
    </row>
    <row r="1246" spans="1:11" ht="42" customHeight="1">
      <c r="A1246" s="2" t="s">
        <v>3205</v>
      </c>
      <c r="B1246" s="2" t="s">
        <v>3205</v>
      </c>
      <c r="C1246" s="2" t="s">
        <v>43</v>
      </c>
      <c r="D1246" s="2" t="s">
        <v>44</v>
      </c>
      <c r="E1246" s="5">
        <v>-30207</v>
      </c>
      <c r="F1246" s="3" t="s">
        <v>1139</v>
      </c>
      <c r="G1246" s="3" t="s">
        <v>629</v>
      </c>
      <c r="H1246" s="2" t="s">
        <v>21</v>
      </c>
      <c r="I1246" s="2" t="s">
        <v>3207</v>
      </c>
      <c r="J1246" s="3" t="str">
        <f>HYPERLINK("https://www.boe.es/gazeta/dias/1817/04/17/pdfs/GMD-1817-46.pdf#page=2","Abrir facsímil")</f>
        <v>Abrir facsímil</v>
      </c>
      <c r="K1246" s="3" t="s">
        <v>23</v>
      </c>
    </row>
    <row r="1247" spans="1:11" ht="42" customHeight="1">
      <c r="A1247" s="2" t="s">
        <v>3208</v>
      </c>
      <c r="B1247" s="2" t="s">
        <v>3209</v>
      </c>
      <c r="C1247" s="2" t="s">
        <v>43</v>
      </c>
      <c r="D1247" s="2" t="s">
        <v>44</v>
      </c>
      <c r="E1247" s="5">
        <v>-30065</v>
      </c>
      <c r="F1247" s="3" t="s">
        <v>201</v>
      </c>
      <c r="G1247" s="3" t="s">
        <v>20</v>
      </c>
      <c r="H1247" s="2" t="s">
        <v>21</v>
      </c>
      <c r="I1247" s="2" t="s">
        <v>3210</v>
      </c>
      <c r="J1247" s="3" t="str">
        <f>HYPERLINK("https://www.boe.es/gazeta/dias/1817/09/06/pdfs/GMD-1817-107.pdf#page=7","Abrir facsímil")</f>
        <v>Abrir facsímil</v>
      </c>
      <c r="K1247" s="3" t="s">
        <v>23</v>
      </c>
    </row>
    <row r="1248" spans="1:11" ht="42" customHeight="1">
      <c r="A1248" s="2" t="s">
        <v>3211</v>
      </c>
      <c r="B1248" s="2" t="s">
        <v>3212</v>
      </c>
      <c r="C1248" s="2" t="s">
        <v>138</v>
      </c>
      <c r="D1248" s="2" t="s">
        <v>44</v>
      </c>
      <c r="E1248" s="5">
        <v>-30156</v>
      </c>
      <c r="F1248" s="3" t="s">
        <v>635</v>
      </c>
      <c r="G1248" s="3" t="s">
        <v>77</v>
      </c>
      <c r="H1248" s="2" t="s">
        <v>21</v>
      </c>
      <c r="I1248" s="2" t="s">
        <v>3213</v>
      </c>
      <c r="J1248" s="3" t="str">
        <f>HYPERLINK("https://www.boe.es/gazeta/dias/1817/06/07/pdfs/GMD-1817-68.pdf#page=8","Abrir facsímil")</f>
        <v>Abrir facsímil</v>
      </c>
      <c r="K1248" s="3" t="s">
        <v>23</v>
      </c>
    </row>
    <row r="1249" spans="1:11" ht="42" customHeight="1">
      <c r="A1249" s="2" t="s">
        <v>3214</v>
      </c>
      <c r="B1249" s="2" t="s">
        <v>3215</v>
      </c>
      <c r="C1249" s="2" t="s">
        <v>17</v>
      </c>
      <c r="D1249" s="2" t="s">
        <v>18</v>
      </c>
      <c r="E1249" s="5">
        <v>-30226</v>
      </c>
      <c r="F1249" s="3" t="s">
        <v>416</v>
      </c>
      <c r="G1249" s="3" t="s">
        <v>3216</v>
      </c>
      <c r="H1249" s="2" t="s">
        <v>21</v>
      </c>
      <c r="I1249" s="2" t="s">
        <v>3217</v>
      </c>
      <c r="J1249" s="3" t="str">
        <f>HYPERLINK("https://www.boe.es/gazeta/dias/1817/03/29/pdfs/GMD-1817-38.pdf#page=6","Abrir facsímil")</f>
        <v>Abrir facsímil</v>
      </c>
      <c r="K1249" s="3" t="s">
        <v>23</v>
      </c>
    </row>
    <row r="1250" spans="1:11" ht="42" customHeight="1">
      <c r="A1250" s="2" t="s">
        <v>3218</v>
      </c>
      <c r="B1250" s="2" t="s">
        <v>3219</v>
      </c>
      <c r="C1250" s="2" t="s">
        <v>49</v>
      </c>
      <c r="D1250" s="2" t="s">
        <v>44</v>
      </c>
      <c r="E1250" s="5">
        <v>-29992</v>
      </c>
      <c r="F1250" s="3" t="s">
        <v>50</v>
      </c>
      <c r="G1250" s="3" t="s">
        <v>39</v>
      </c>
      <c r="H1250" s="2" t="s">
        <v>21</v>
      </c>
      <c r="I1250" s="2" t="s">
        <v>3220</v>
      </c>
      <c r="J1250" s="3" t="str">
        <f>HYPERLINK("https://www.boe.es/gazeta/dias/1817/11/18/pdfs/GMD-1817-138.pdf#page=5","Abrir facsímil")</f>
        <v>Abrir facsímil</v>
      </c>
      <c r="K1250" s="3" t="s">
        <v>23</v>
      </c>
    </row>
    <row r="1251" spans="1:11" ht="42" customHeight="1">
      <c r="A1251" s="2" t="s">
        <v>3221</v>
      </c>
      <c r="B1251" s="2" t="s">
        <v>3222</v>
      </c>
      <c r="C1251" s="2" t="s">
        <v>43</v>
      </c>
      <c r="D1251" s="2" t="s">
        <v>44</v>
      </c>
      <c r="E1251" s="5">
        <v>-30286</v>
      </c>
      <c r="F1251" s="3" t="s">
        <v>354</v>
      </c>
      <c r="G1251" s="3" t="s">
        <v>1580</v>
      </c>
      <c r="H1251" s="2" t="s">
        <v>21</v>
      </c>
      <c r="I1251" s="2" t="s">
        <v>3223</v>
      </c>
      <c r="J1251" s="3" t="str">
        <f>HYPERLINK("https://www.boe.es/gazeta/dias/1817/01/28/pdfs/GMD-1817-12.pdf#page=5","Abrir facsímil")</f>
        <v>Abrir facsímil</v>
      </c>
      <c r="K1251" s="3" t="s">
        <v>23</v>
      </c>
    </row>
    <row r="1252" spans="1:11" ht="42" customHeight="1">
      <c r="A1252" s="2" t="s">
        <v>3224</v>
      </c>
      <c r="B1252" s="2" t="s">
        <v>3225</v>
      </c>
      <c r="C1252" s="2" t="s">
        <v>49</v>
      </c>
      <c r="D1252" s="2" t="s">
        <v>44</v>
      </c>
      <c r="E1252" s="5">
        <v>-29964</v>
      </c>
      <c r="F1252" s="3" t="s">
        <v>482</v>
      </c>
      <c r="G1252" s="3" t="s">
        <v>483</v>
      </c>
      <c r="H1252" s="2" t="s">
        <v>21</v>
      </c>
      <c r="I1252" s="2" t="s">
        <v>3226</v>
      </c>
      <c r="J1252" s="3" t="str">
        <f>HYPERLINK("https://www.boe.es/gazeta/dias/1817/12/16/pdfs/GMD-1817-150.pdf#page=12","Abrir facsímil")</f>
        <v>Abrir facsímil</v>
      </c>
      <c r="K1252" s="3" t="s">
        <v>23</v>
      </c>
    </row>
    <row r="1253" spans="1:11" ht="42" customHeight="1">
      <c r="A1253" s="2" t="s">
        <v>3227</v>
      </c>
      <c r="B1253" s="2" t="s">
        <v>3228</v>
      </c>
      <c r="C1253" s="2" t="s">
        <v>55</v>
      </c>
      <c r="D1253" s="2" t="s">
        <v>44</v>
      </c>
      <c r="E1253" s="5">
        <v>-29992</v>
      </c>
      <c r="F1253" s="3" t="s">
        <v>50</v>
      </c>
      <c r="G1253" s="3" t="s">
        <v>51</v>
      </c>
      <c r="H1253" s="2" t="s">
        <v>21</v>
      </c>
      <c r="I1253" s="2" t="s">
        <v>3229</v>
      </c>
      <c r="J1253" s="3" t="str">
        <f>HYPERLINK("https://www.boe.es/gazeta/dias/1817/11/18/pdfs/GMD-1817-138.pdf#page=8","Abrir facsímil")</f>
        <v>Abrir facsímil</v>
      </c>
      <c r="K1253" s="3" t="s">
        <v>23</v>
      </c>
    </row>
    <row r="1254" spans="1:11" ht="42" customHeight="1">
      <c r="A1254" s="2" t="s">
        <v>3230</v>
      </c>
      <c r="B1254" s="2" t="s">
        <v>3231</v>
      </c>
      <c r="C1254" s="2" t="s">
        <v>36</v>
      </c>
      <c r="D1254" s="2" t="s">
        <v>37</v>
      </c>
      <c r="E1254" s="5">
        <v>-30130</v>
      </c>
      <c r="F1254" s="3" t="s">
        <v>768</v>
      </c>
      <c r="G1254" s="3" t="s">
        <v>144</v>
      </c>
      <c r="H1254" s="2" t="s">
        <v>21</v>
      </c>
      <c r="I1254" s="2" t="s">
        <v>3232</v>
      </c>
      <c r="J1254" s="3" t="str">
        <f>HYPERLINK("https://www.boe.es/gazeta/dias/1817/07/03/pdfs/GMD-1817-79.pdf#page=4","Abrir facsímil")</f>
        <v>Abrir facsímil</v>
      </c>
      <c r="K1254" s="3" t="s">
        <v>23</v>
      </c>
    </row>
    <row r="1255" spans="1:11" ht="42" customHeight="1">
      <c r="A1255" s="2" t="s">
        <v>3233</v>
      </c>
      <c r="B1255" s="2" t="s">
        <v>3234</v>
      </c>
      <c r="C1255" s="2" t="s">
        <v>55</v>
      </c>
      <c r="D1255" s="2" t="s">
        <v>44</v>
      </c>
      <c r="E1255" s="5">
        <v>-30034</v>
      </c>
      <c r="F1255" s="3" t="s">
        <v>270</v>
      </c>
      <c r="G1255" s="3" t="s">
        <v>144</v>
      </c>
      <c r="H1255" s="2" t="s">
        <v>21</v>
      </c>
      <c r="I1255" s="2" t="s">
        <v>3235</v>
      </c>
      <c r="J1255" s="3" t="str">
        <f>HYPERLINK("https://www.boe.es/gazeta/dias/1817/10/07/pdfs/GMD-1817-120.pdf#page=4","Abrir facsímil")</f>
        <v>Abrir facsímil</v>
      </c>
      <c r="K1255" s="3" t="s">
        <v>23</v>
      </c>
    </row>
    <row r="1256" spans="1:11" ht="42" customHeight="1">
      <c r="A1256" s="2" t="s">
        <v>3236</v>
      </c>
      <c r="B1256" s="2" t="s">
        <v>3237</v>
      </c>
      <c r="C1256" s="2" t="s">
        <v>55</v>
      </c>
      <c r="D1256" s="2" t="s">
        <v>44</v>
      </c>
      <c r="E1256" s="5">
        <v>-30188</v>
      </c>
      <c r="F1256" s="3" t="s">
        <v>177</v>
      </c>
      <c r="G1256" s="3" t="s">
        <v>77</v>
      </c>
      <c r="H1256" s="2" t="s">
        <v>21</v>
      </c>
      <c r="I1256" s="2" t="s">
        <v>3238</v>
      </c>
      <c r="J1256" s="3" t="str">
        <f>HYPERLINK("https://www.boe.es/gazeta/dias/1817/05/06/pdfs/GMD-1817-54.pdf#page=8","Abrir facsímil")</f>
        <v>Abrir facsímil</v>
      </c>
      <c r="K1256" s="3" t="s">
        <v>23</v>
      </c>
    </row>
    <row r="1257" spans="1:11" ht="42" customHeight="1">
      <c r="A1257" s="2" t="s">
        <v>3239</v>
      </c>
      <c r="B1257" s="2" t="s">
        <v>3240</v>
      </c>
      <c r="C1257" s="2" t="s">
        <v>17</v>
      </c>
      <c r="D1257" s="2" t="s">
        <v>18</v>
      </c>
      <c r="E1257" s="5">
        <v>-30188</v>
      </c>
      <c r="F1257" s="3" t="s">
        <v>177</v>
      </c>
      <c r="G1257" s="3" t="s">
        <v>20</v>
      </c>
      <c r="H1257" s="2" t="s">
        <v>21</v>
      </c>
      <c r="I1257" s="2" t="s">
        <v>3241</v>
      </c>
      <c r="J1257" s="3" t="str">
        <f>HYPERLINK("https://www.boe.es/gazeta/dias/1817/05/06/pdfs/GMD-1817-54.pdf#page=7","Abrir facsímil")</f>
        <v>Abrir facsímil</v>
      </c>
      <c r="K1257" s="3" t="s">
        <v>23</v>
      </c>
    </row>
    <row r="1258" spans="1:11" ht="42" customHeight="1">
      <c r="A1258" s="2" t="s">
        <v>3242</v>
      </c>
      <c r="B1258" s="2" t="s">
        <v>3243</v>
      </c>
      <c r="C1258" s="2" t="s">
        <v>36</v>
      </c>
      <c r="D1258" s="2" t="s">
        <v>37</v>
      </c>
      <c r="E1258" s="5">
        <v>-30144</v>
      </c>
      <c r="F1258" s="3" t="s">
        <v>846</v>
      </c>
      <c r="G1258" s="3" t="s">
        <v>77</v>
      </c>
      <c r="H1258" s="2" t="s">
        <v>21</v>
      </c>
      <c r="I1258" s="2" t="s">
        <v>3244</v>
      </c>
      <c r="J1258" s="3" t="str">
        <f>HYPERLINK("https://www.boe.es/gazeta/dias/1817/06/19/pdfs/GMD-1817-73.pdf#page=8","Abrir facsímil")</f>
        <v>Abrir facsímil</v>
      </c>
      <c r="K1258" s="3" t="s">
        <v>23</v>
      </c>
    </row>
    <row r="1259" spans="1:11" ht="42" customHeight="1">
      <c r="A1259" s="2" t="s">
        <v>3245</v>
      </c>
      <c r="B1259" s="2" t="s">
        <v>3246</v>
      </c>
      <c r="C1259" s="2" t="s">
        <v>36</v>
      </c>
      <c r="D1259" s="2" t="s">
        <v>37</v>
      </c>
      <c r="E1259" s="5">
        <v>-30109</v>
      </c>
      <c r="F1259" s="3" t="s">
        <v>205</v>
      </c>
      <c r="G1259" s="3" t="s">
        <v>112</v>
      </c>
      <c r="H1259" s="2" t="s">
        <v>21</v>
      </c>
      <c r="I1259" s="2" t="s">
        <v>3247</v>
      </c>
      <c r="J1259" s="3" t="str">
        <f>HYPERLINK("https://www.boe.es/gazeta/dias/1817/07/24/pdfs/GMD-1817-88.pdf#page=11","Abrir facsímil")</f>
        <v>Abrir facsímil</v>
      </c>
      <c r="K1259" s="3" t="s">
        <v>23</v>
      </c>
    </row>
    <row r="1260" spans="1:11" ht="42" customHeight="1">
      <c r="A1260" s="2" t="s">
        <v>3248</v>
      </c>
      <c r="B1260" s="2" t="s">
        <v>3249</v>
      </c>
      <c r="C1260" s="2" t="s">
        <v>49</v>
      </c>
      <c r="D1260" s="2" t="s">
        <v>44</v>
      </c>
      <c r="E1260" s="5">
        <v>-30142</v>
      </c>
      <c r="F1260" s="3" t="s">
        <v>286</v>
      </c>
      <c r="G1260" s="3" t="s">
        <v>144</v>
      </c>
      <c r="H1260" s="2" t="s">
        <v>21</v>
      </c>
      <c r="I1260" s="2" t="s">
        <v>3250</v>
      </c>
      <c r="J1260" s="3" t="str">
        <f>HYPERLINK("https://www.boe.es/gazeta/dias/1817/06/21/pdfs/GMD-1817-74.pdf#page=4","Abrir facsímil")</f>
        <v>Abrir facsímil</v>
      </c>
      <c r="K1260" s="3" t="s">
        <v>23</v>
      </c>
    </row>
    <row r="1261" spans="1:11" ht="42" customHeight="1">
      <c r="A1261" s="2" t="s">
        <v>3251</v>
      </c>
      <c r="B1261" s="2" t="s">
        <v>3252</v>
      </c>
      <c r="C1261" s="2" t="s">
        <v>36</v>
      </c>
      <c r="D1261" s="2" t="s">
        <v>37</v>
      </c>
      <c r="E1261" s="5">
        <v>-30233</v>
      </c>
      <c r="F1261" s="3" t="s">
        <v>577</v>
      </c>
      <c r="G1261" s="3" t="s">
        <v>20</v>
      </c>
      <c r="H1261" s="2" t="s">
        <v>27</v>
      </c>
      <c r="I1261" s="2" t="s">
        <v>3253</v>
      </c>
      <c r="J1261" s="3" t="str">
        <f>HYPERLINK("https://www.boe.es/gazeta/dias/1817/03/22/pdfs/GMD-1817-35.pdf#page=7","Abrir facsímil")</f>
        <v>Abrir facsímil</v>
      </c>
      <c r="K1261" s="3" t="s">
        <v>29</v>
      </c>
    </row>
    <row r="1262" spans="1:11" ht="42" customHeight="1">
      <c r="A1262" s="2" t="s">
        <v>3254</v>
      </c>
      <c r="B1262" s="2" t="s">
        <v>3255</v>
      </c>
      <c r="C1262" s="2" t="s">
        <v>97</v>
      </c>
      <c r="D1262" s="2" t="s">
        <v>44</v>
      </c>
      <c r="E1262" s="5">
        <v>-30055</v>
      </c>
      <c r="F1262" s="3" t="s">
        <v>71</v>
      </c>
      <c r="G1262" s="3" t="s">
        <v>82</v>
      </c>
      <c r="H1262" s="2" t="s">
        <v>21</v>
      </c>
      <c r="I1262" s="2" t="s">
        <v>3256</v>
      </c>
      <c r="J1262" s="3" t="str">
        <f>HYPERLINK("https://www.boe.es/gazeta/dias/1817/09/16/pdfs/GMD-1817-111.pdf#page=12","Abrir facsímil")</f>
        <v>Abrir facsímil</v>
      </c>
      <c r="K1262" s="3" t="s">
        <v>23</v>
      </c>
    </row>
    <row r="1263" spans="1:11" ht="42" customHeight="1">
      <c r="A1263" s="2" t="s">
        <v>3257</v>
      </c>
      <c r="B1263" s="2" t="s">
        <v>3258</v>
      </c>
      <c r="C1263" s="2" t="s">
        <v>36</v>
      </c>
      <c r="D1263" s="2" t="s">
        <v>37</v>
      </c>
      <c r="E1263" s="5">
        <v>-30237</v>
      </c>
      <c r="F1263" s="3" t="s">
        <v>56</v>
      </c>
      <c r="G1263" s="3" t="s">
        <v>144</v>
      </c>
      <c r="H1263" s="2" t="s">
        <v>21</v>
      </c>
      <c r="I1263" s="2" t="s">
        <v>3259</v>
      </c>
      <c r="J1263" s="3" t="str">
        <f>HYPERLINK("https://www.boe.es/gazeta/dias/1817/03/18/pdfs/GMD-1817-33.pdf#page=4","Abrir facsímil")</f>
        <v>Abrir facsímil</v>
      </c>
      <c r="K1263" s="3" t="s">
        <v>23</v>
      </c>
    </row>
    <row r="1264" spans="1:11" ht="42" customHeight="1">
      <c r="A1264" s="2" t="s">
        <v>3260</v>
      </c>
      <c r="B1264" s="2" t="s">
        <v>3261</v>
      </c>
      <c r="C1264" s="2" t="s">
        <v>43</v>
      </c>
      <c r="D1264" s="2" t="s">
        <v>44</v>
      </c>
      <c r="E1264" s="5">
        <v>-30265</v>
      </c>
      <c r="F1264" s="3" t="s">
        <v>107</v>
      </c>
      <c r="G1264" s="3" t="s">
        <v>997</v>
      </c>
      <c r="H1264" s="2" t="s">
        <v>21</v>
      </c>
      <c r="I1264" s="2" t="s">
        <v>3262</v>
      </c>
      <c r="J1264" s="3" t="str">
        <f>HYPERLINK("https://www.boe.es/gazeta/dias/1817/02/18/pdfs/GMD-1817-21.pdf#page=5","Abrir facsímil")</f>
        <v>Abrir facsímil</v>
      </c>
      <c r="K1264" s="3" t="s">
        <v>23</v>
      </c>
    </row>
    <row r="1265" spans="1:11" ht="42" customHeight="1">
      <c r="A1265" s="2" t="s">
        <v>3263</v>
      </c>
      <c r="B1265" s="2" t="s">
        <v>3264</v>
      </c>
      <c r="C1265" s="2" t="s">
        <v>36</v>
      </c>
      <c r="D1265" s="2" t="s">
        <v>37</v>
      </c>
      <c r="E1265" s="5">
        <v>-30270</v>
      </c>
      <c r="F1265" s="3" t="s">
        <v>341</v>
      </c>
      <c r="G1265" s="3" t="s">
        <v>57</v>
      </c>
      <c r="H1265" s="2" t="s">
        <v>21</v>
      </c>
      <c r="I1265" s="2" t="s">
        <v>3265</v>
      </c>
      <c r="J1265" s="3" t="str">
        <f>HYPERLINK("https://www.boe.es/gazeta/dias/1817/02/13/pdfs/GMD-1817-19.pdf#page=6","Abrir facsímil")</f>
        <v>Abrir facsímil</v>
      </c>
      <c r="K1265" s="3" t="s">
        <v>23</v>
      </c>
    </row>
    <row r="1266" spans="1:11" ht="42" customHeight="1">
      <c r="A1266" s="2" t="s">
        <v>3263</v>
      </c>
      <c r="B1266" s="2" t="s">
        <v>3264</v>
      </c>
      <c r="C1266" s="2" t="s">
        <v>36</v>
      </c>
      <c r="D1266" s="2" t="s">
        <v>37</v>
      </c>
      <c r="E1266" s="5">
        <v>-30270</v>
      </c>
      <c r="F1266" s="3" t="s">
        <v>341</v>
      </c>
      <c r="G1266" s="3" t="s">
        <v>20</v>
      </c>
      <c r="H1266" s="2" t="s">
        <v>21</v>
      </c>
      <c r="I1266" s="2" t="s">
        <v>3266</v>
      </c>
      <c r="J1266" s="3" t="str">
        <f>HYPERLINK("https://www.boe.es/gazeta/dias/1817/02/13/pdfs/GMD-1817-19.pdf#page=7","Abrir facsímil")</f>
        <v>Abrir facsímil</v>
      </c>
      <c r="K1266" s="3" t="s">
        <v>23</v>
      </c>
    </row>
    <row r="1267" spans="1:11" ht="42" customHeight="1">
      <c r="A1267" s="2" t="s">
        <v>3263</v>
      </c>
      <c r="B1267" s="2" t="s">
        <v>3264</v>
      </c>
      <c r="C1267" s="2" t="s">
        <v>36</v>
      </c>
      <c r="D1267" s="2" t="s">
        <v>37</v>
      </c>
      <c r="E1267" s="5">
        <v>-30256</v>
      </c>
      <c r="F1267" s="3" t="s">
        <v>302</v>
      </c>
      <c r="G1267" s="3" t="s">
        <v>144</v>
      </c>
      <c r="H1267" s="2" t="s">
        <v>21</v>
      </c>
      <c r="I1267" s="2" t="s">
        <v>3267</v>
      </c>
      <c r="J1267" s="3" t="str">
        <f>HYPERLINK("https://www.boe.es/gazeta/dias/1817/02/27/pdfs/GMD-1817-25.pdf#page=4","Abrir facsímil")</f>
        <v>Abrir facsímil</v>
      </c>
      <c r="K1267" s="3" t="s">
        <v>23</v>
      </c>
    </row>
    <row r="1268" spans="1:11" ht="42" customHeight="1">
      <c r="A1268" s="2" t="s">
        <v>3263</v>
      </c>
      <c r="B1268" s="2" t="s">
        <v>3264</v>
      </c>
      <c r="C1268" s="2" t="s">
        <v>36</v>
      </c>
      <c r="D1268" s="2" t="s">
        <v>37</v>
      </c>
      <c r="E1268" s="5">
        <v>-30191</v>
      </c>
      <c r="F1268" s="3" t="s">
        <v>420</v>
      </c>
      <c r="G1268" s="3" t="s">
        <v>3268</v>
      </c>
      <c r="H1268" s="2" t="s">
        <v>21</v>
      </c>
      <c r="I1268" s="2" t="s">
        <v>3269</v>
      </c>
      <c r="J1268" s="3" t="str">
        <f>HYPERLINK("https://www.boe.es/gazeta/dias/1817/05/03/pdfs/GMD-1817-53.pdf#page=5","Abrir facsímil")</f>
        <v>Abrir facsímil</v>
      </c>
      <c r="K1268" s="3" t="s">
        <v>23</v>
      </c>
    </row>
    <row r="1269" spans="1:11" ht="42" customHeight="1">
      <c r="A1269" s="2" t="s">
        <v>3263</v>
      </c>
      <c r="B1269" s="2" t="s">
        <v>3264</v>
      </c>
      <c r="C1269" s="2" t="s">
        <v>17</v>
      </c>
      <c r="D1269" s="2" t="s">
        <v>18</v>
      </c>
      <c r="E1269" s="5">
        <v>-30186</v>
      </c>
      <c r="F1269" s="3" t="s">
        <v>2003</v>
      </c>
      <c r="G1269" s="3" t="s">
        <v>2886</v>
      </c>
      <c r="H1269" s="2" t="s">
        <v>21</v>
      </c>
      <c r="I1269" s="2" t="s">
        <v>3270</v>
      </c>
      <c r="J1269" s="3" t="str">
        <f>HYPERLINK("https://www.boe.es/gazeta/dias/1817/05/08/pdfs/GMD-1817-55.pdf#page=6","Abrir facsímil")</f>
        <v>Abrir facsímil</v>
      </c>
      <c r="K1269" s="3" t="s">
        <v>23</v>
      </c>
    </row>
    <row r="1270" spans="1:11" ht="42" customHeight="1">
      <c r="A1270" s="2" t="s">
        <v>3263</v>
      </c>
      <c r="B1270" s="2" t="s">
        <v>3264</v>
      </c>
      <c r="C1270" s="2" t="s">
        <v>36</v>
      </c>
      <c r="D1270" s="2" t="s">
        <v>37</v>
      </c>
      <c r="E1270" s="5">
        <v>-30186</v>
      </c>
      <c r="F1270" s="3" t="s">
        <v>2003</v>
      </c>
      <c r="G1270" s="3" t="s">
        <v>2996</v>
      </c>
      <c r="H1270" s="2" t="s">
        <v>21</v>
      </c>
      <c r="I1270" s="2" t="s">
        <v>3271</v>
      </c>
      <c r="J1270" s="3" t="str">
        <f>HYPERLINK("https://www.boe.es/gazeta/dias/1817/05/08/pdfs/GMD-1817-55.pdf#page=7","Abrir facsímil")</f>
        <v>Abrir facsímil</v>
      </c>
      <c r="K1270" s="3" t="s">
        <v>23</v>
      </c>
    </row>
    <row r="1271" spans="1:11" ht="42" customHeight="1">
      <c r="A1271" s="2" t="s">
        <v>3263</v>
      </c>
      <c r="B1271" s="2" t="s">
        <v>3264</v>
      </c>
      <c r="C1271" s="2" t="s">
        <v>36</v>
      </c>
      <c r="D1271" s="2" t="s">
        <v>37</v>
      </c>
      <c r="E1271" s="5">
        <v>-30160</v>
      </c>
      <c r="F1271" s="3" t="s">
        <v>116</v>
      </c>
      <c r="G1271" s="3" t="s">
        <v>427</v>
      </c>
      <c r="H1271" s="2" t="s">
        <v>21</v>
      </c>
      <c r="I1271" s="2" t="s">
        <v>3272</v>
      </c>
      <c r="J1271" s="3" t="str">
        <f>HYPERLINK("https://www.boe.es/gazeta/dias/1817/06/03/pdfs/GMD-1817-66.pdf#page=8","Abrir facsímil")</f>
        <v>Abrir facsímil</v>
      </c>
      <c r="K1271" s="3" t="s">
        <v>23</v>
      </c>
    </row>
    <row r="1272" spans="1:11" ht="42" customHeight="1">
      <c r="A1272" s="2" t="s">
        <v>3263</v>
      </c>
      <c r="B1272" s="2" t="s">
        <v>3264</v>
      </c>
      <c r="C1272" s="2" t="s">
        <v>36</v>
      </c>
      <c r="D1272" s="2" t="s">
        <v>37</v>
      </c>
      <c r="E1272" s="5">
        <v>-30086</v>
      </c>
      <c r="F1272" s="3" t="s">
        <v>221</v>
      </c>
      <c r="G1272" s="3" t="s">
        <v>3273</v>
      </c>
      <c r="H1272" s="2" t="s">
        <v>21</v>
      </c>
      <c r="I1272" s="2" t="s">
        <v>3274</v>
      </c>
      <c r="J1272" s="3" t="str">
        <f>HYPERLINK("https://www.boe.es/gazeta/dias/1817/08/16/pdfs/GMD-1817-98.pdf#page=6","Abrir facsímil")</f>
        <v>Abrir facsímil</v>
      </c>
      <c r="K1272" s="3" t="s">
        <v>23</v>
      </c>
    </row>
    <row r="1273" spans="1:11" ht="42" customHeight="1">
      <c r="A1273" s="2" t="s">
        <v>3263</v>
      </c>
      <c r="B1273" s="2" t="s">
        <v>3264</v>
      </c>
      <c r="C1273" s="2" t="s">
        <v>36</v>
      </c>
      <c r="D1273" s="2" t="s">
        <v>37</v>
      </c>
      <c r="E1273" s="5">
        <v>-30072</v>
      </c>
      <c r="F1273" s="3" t="s">
        <v>442</v>
      </c>
      <c r="G1273" s="3" t="s">
        <v>39</v>
      </c>
      <c r="H1273" s="2" t="s">
        <v>21</v>
      </c>
      <c r="I1273" s="2" t="s">
        <v>3275</v>
      </c>
      <c r="J1273" s="3" t="str">
        <f>HYPERLINK("https://www.boe.es/gazeta/dias/1817/08/30/pdfs/GMD-1817-104.pdf#page=5","Abrir facsímil")</f>
        <v>Abrir facsímil</v>
      </c>
      <c r="K1273" s="3" t="s">
        <v>23</v>
      </c>
    </row>
    <row r="1274" spans="1:11" ht="42" customHeight="1">
      <c r="A1274" s="2" t="s">
        <v>3263</v>
      </c>
      <c r="B1274" s="2" t="s">
        <v>3264</v>
      </c>
      <c r="C1274" s="2" t="s">
        <v>17</v>
      </c>
      <c r="D1274" s="2" t="s">
        <v>18</v>
      </c>
      <c r="E1274" s="5">
        <v>-30069</v>
      </c>
      <c r="F1274" s="3" t="s">
        <v>817</v>
      </c>
      <c r="G1274" s="3" t="s">
        <v>57</v>
      </c>
      <c r="H1274" s="2" t="s">
        <v>21</v>
      </c>
      <c r="I1274" s="2" t="s">
        <v>3276</v>
      </c>
      <c r="J1274" s="3" t="str">
        <f>HYPERLINK("https://www.boe.es/gazeta/dias/1817/09/02/pdfs/GMD-1817-105.pdf#page=6","Abrir facsímil")</f>
        <v>Abrir facsímil</v>
      </c>
      <c r="K1274" s="3" t="s">
        <v>23</v>
      </c>
    </row>
    <row r="1275" spans="1:11" ht="42" customHeight="1">
      <c r="A1275" s="2" t="s">
        <v>3263</v>
      </c>
      <c r="B1275" s="2" t="s">
        <v>3264</v>
      </c>
      <c r="C1275" s="2" t="s">
        <v>17</v>
      </c>
      <c r="D1275" s="2" t="s">
        <v>18</v>
      </c>
      <c r="E1275" s="5">
        <v>-30055</v>
      </c>
      <c r="F1275" s="3" t="s">
        <v>71</v>
      </c>
      <c r="G1275" s="3" t="s">
        <v>20</v>
      </c>
      <c r="H1275" s="2" t="s">
        <v>21</v>
      </c>
      <c r="I1275" s="2" t="s">
        <v>3277</v>
      </c>
      <c r="J1275" s="3" t="str">
        <f>HYPERLINK("https://www.boe.es/gazeta/dias/1817/09/16/pdfs/GMD-1817-111.pdf#page=7","Abrir facsímil")</f>
        <v>Abrir facsímil</v>
      </c>
      <c r="K1275" s="3" t="s">
        <v>23</v>
      </c>
    </row>
    <row r="1276" spans="1:11" ht="42" customHeight="1">
      <c r="A1276" s="2" t="s">
        <v>3263</v>
      </c>
      <c r="B1276" s="2" t="s">
        <v>3264</v>
      </c>
      <c r="C1276" s="2" t="s">
        <v>17</v>
      </c>
      <c r="D1276" s="2" t="s">
        <v>18</v>
      </c>
      <c r="E1276" s="5">
        <v>-30053</v>
      </c>
      <c r="F1276" s="3" t="s">
        <v>129</v>
      </c>
      <c r="G1276" s="3" t="s">
        <v>77</v>
      </c>
      <c r="H1276" s="2" t="s">
        <v>21</v>
      </c>
      <c r="I1276" s="2" t="s">
        <v>3278</v>
      </c>
      <c r="J1276" s="3" t="str">
        <f>HYPERLINK("https://www.boe.es/gazeta/dias/1817/09/18/pdfs/GMD-1817-112.pdf#page=8","Abrir facsímil")</f>
        <v>Abrir facsímil</v>
      </c>
      <c r="K1276" s="3" t="s">
        <v>23</v>
      </c>
    </row>
    <row r="1277" spans="1:11" ht="42" customHeight="1">
      <c r="A1277" s="2" t="s">
        <v>3263</v>
      </c>
      <c r="B1277" s="2" t="s">
        <v>3264</v>
      </c>
      <c r="C1277" s="2" t="s">
        <v>36</v>
      </c>
      <c r="D1277" s="2" t="s">
        <v>37</v>
      </c>
      <c r="E1277" s="5">
        <v>-30046</v>
      </c>
      <c r="F1277" s="3" t="s">
        <v>214</v>
      </c>
      <c r="G1277" s="3" t="s">
        <v>57</v>
      </c>
      <c r="H1277" s="2" t="s">
        <v>21</v>
      </c>
      <c r="I1277" s="2" t="s">
        <v>3279</v>
      </c>
      <c r="J1277" s="3" t="str">
        <f>HYPERLINK("https://www.boe.es/gazeta/dias/1817/09/25/pdfs/GMD-1817-115.pdf#page=6","Abrir facsímil")</f>
        <v>Abrir facsímil</v>
      </c>
      <c r="K1277" s="3" t="s">
        <v>23</v>
      </c>
    </row>
    <row r="1278" spans="1:11" ht="42" customHeight="1">
      <c r="A1278" s="2" t="s">
        <v>3263</v>
      </c>
      <c r="B1278" s="2" t="s">
        <v>3264</v>
      </c>
      <c r="C1278" s="2" t="s">
        <v>36</v>
      </c>
      <c r="D1278" s="2" t="s">
        <v>37</v>
      </c>
      <c r="E1278" s="5">
        <v>-30034</v>
      </c>
      <c r="F1278" s="3" t="s">
        <v>270</v>
      </c>
      <c r="G1278" s="3" t="s">
        <v>57</v>
      </c>
      <c r="H1278" s="2" t="s">
        <v>21</v>
      </c>
      <c r="I1278" s="2" t="s">
        <v>3280</v>
      </c>
      <c r="J1278" s="3" t="str">
        <f>HYPERLINK("https://www.boe.es/gazeta/dias/1817/10/07/pdfs/GMD-1817-120.pdf#page=6","Abrir facsímil")</f>
        <v>Abrir facsímil</v>
      </c>
      <c r="K1278" s="3" t="s">
        <v>23</v>
      </c>
    </row>
    <row r="1279" spans="1:11" ht="42" customHeight="1">
      <c r="A1279" s="2" t="s">
        <v>3263</v>
      </c>
      <c r="B1279" s="2" t="s">
        <v>3264</v>
      </c>
      <c r="C1279" s="2" t="s">
        <v>17</v>
      </c>
      <c r="D1279" s="2" t="s">
        <v>18</v>
      </c>
      <c r="E1279" s="5">
        <v>-30020</v>
      </c>
      <c r="F1279" s="3" t="s">
        <v>291</v>
      </c>
      <c r="G1279" s="3" t="s">
        <v>57</v>
      </c>
      <c r="H1279" s="2" t="s">
        <v>21</v>
      </c>
      <c r="I1279" s="2" t="s">
        <v>3281</v>
      </c>
      <c r="J1279" s="3" t="str">
        <f>HYPERLINK("https://www.boe.es/gazeta/dias/1817/10/21/pdfs/GMD-1817-126.pdf#page=6","Abrir facsímil")</f>
        <v>Abrir facsímil</v>
      </c>
      <c r="K1279" s="3" t="s">
        <v>23</v>
      </c>
    </row>
    <row r="1280" spans="1:11" ht="42" customHeight="1">
      <c r="A1280" s="2" t="s">
        <v>3263</v>
      </c>
      <c r="B1280" s="2" t="s">
        <v>3264</v>
      </c>
      <c r="C1280" s="2" t="s">
        <v>17</v>
      </c>
      <c r="D1280" s="2" t="s">
        <v>18</v>
      </c>
      <c r="E1280" s="5">
        <v>-30016</v>
      </c>
      <c r="F1280" s="3" t="s">
        <v>2582</v>
      </c>
      <c r="G1280" s="3" t="s">
        <v>3282</v>
      </c>
      <c r="H1280" s="2" t="s">
        <v>21</v>
      </c>
      <c r="I1280" s="2" t="s">
        <v>3283</v>
      </c>
      <c r="J1280" s="3" t="str">
        <f>HYPERLINK("https://www.boe.es/gazeta/dias/1817/10/25/pdfs/GMD-1817-128.pdf#page=7","Abrir facsímil")</f>
        <v>Abrir facsímil</v>
      </c>
      <c r="K1280" s="3" t="s">
        <v>23</v>
      </c>
    </row>
    <row r="1281" spans="1:11" ht="42" customHeight="1">
      <c r="A1281" s="2" t="s">
        <v>3263</v>
      </c>
      <c r="B1281" s="2" t="s">
        <v>3264</v>
      </c>
      <c r="C1281" s="2" t="s">
        <v>36</v>
      </c>
      <c r="D1281" s="2" t="s">
        <v>37</v>
      </c>
      <c r="E1281" s="5">
        <v>-30016</v>
      </c>
      <c r="F1281" s="3" t="s">
        <v>2582</v>
      </c>
      <c r="G1281" s="3" t="s">
        <v>39</v>
      </c>
      <c r="H1281" s="2" t="s">
        <v>21</v>
      </c>
      <c r="I1281" s="2" t="s">
        <v>3284</v>
      </c>
      <c r="J1281" s="3" t="str">
        <f>HYPERLINK("https://www.boe.es/gazeta/dias/1817/10/25/pdfs/GMD-1817-128.pdf#page=5","Abrir facsímil")</f>
        <v>Abrir facsímil</v>
      </c>
      <c r="K1281" s="3" t="s">
        <v>23</v>
      </c>
    </row>
    <row r="1282" spans="1:11" ht="42" customHeight="1">
      <c r="A1282" s="2" t="s">
        <v>3263</v>
      </c>
      <c r="B1282" s="2" t="s">
        <v>3264</v>
      </c>
      <c r="C1282" s="2" t="s">
        <v>36</v>
      </c>
      <c r="D1282" s="2" t="s">
        <v>37</v>
      </c>
      <c r="E1282" s="5">
        <v>-30016</v>
      </c>
      <c r="F1282" s="3" t="s">
        <v>2582</v>
      </c>
      <c r="G1282" s="3" t="s">
        <v>57</v>
      </c>
      <c r="H1282" s="2" t="s">
        <v>21</v>
      </c>
      <c r="I1282" s="2" t="s">
        <v>3285</v>
      </c>
      <c r="J1282" s="3" t="str">
        <f>HYPERLINK("https://www.boe.es/gazeta/dias/1817/10/25/pdfs/GMD-1817-128.pdf#page=6","Abrir facsímil")</f>
        <v>Abrir facsímil</v>
      </c>
      <c r="K1282" s="3" t="s">
        <v>23</v>
      </c>
    </row>
    <row r="1283" spans="1:11" ht="42" customHeight="1">
      <c r="A1283" s="2" t="s">
        <v>3263</v>
      </c>
      <c r="B1283" s="2" t="s">
        <v>3264</v>
      </c>
      <c r="C1283" s="2" t="s">
        <v>36</v>
      </c>
      <c r="D1283" s="2" t="s">
        <v>37</v>
      </c>
      <c r="E1283" s="5">
        <v>-29997</v>
      </c>
      <c r="F1283" s="3" t="s">
        <v>652</v>
      </c>
      <c r="G1283" s="3" t="s">
        <v>1541</v>
      </c>
      <c r="H1283" s="2" t="s">
        <v>21</v>
      </c>
      <c r="I1283" s="2" t="s">
        <v>3286</v>
      </c>
      <c r="J1283" s="3" t="str">
        <f>HYPERLINK("https://www.boe.es/gazeta/dias/1817/11/13/pdfs/GMD-1817-136.pdf#page=9","Abrir facsímil")</f>
        <v>Abrir facsímil</v>
      </c>
      <c r="K1283" s="3" t="s">
        <v>23</v>
      </c>
    </row>
    <row r="1284" spans="1:11" ht="42" customHeight="1">
      <c r="A1284" s="2" t="s">
        <v>3263</v>
      </c>
      <c r="B1284" s="2" t="s">
        <v>3264</v>
      </c>
      <c r="C1284" s="2" t="s">
        <v>17</v>
      </c>
      <c r="D1284" s="2" t="s">
        <v>18</v>
      </c>
      <c r="E1284" s="5">
        <v>-29988</v>
      </c>
      <c r="F1284" s="3" t="s">
        <v>569</v>
      </c>
      <c r="G1284" s="3" t="s">
        <v>2926</v>
      </c>
      <c r="H1284" s="2" t="s">
        <v>21</v>
      </c>
      <c r="I1284" s="2" t="s">
        <v>3287</v>
      </c>
      <c r="J1284" s="3" t="str">
        <f>HYPERLINK("https://www.boe.es/gazeta/dias/1817/11/22/pdfs/GMD-1817-140.pdf#page=9","Abrir facsímil")</f>
        <v>Abrir facsímil</v>
      </c>
      <c r="K1284" s="3" t="s">
        <v>23</v>
      </c>
    </row>
    <row r="1285" spans="1:11" ht="42" customHeight="1">
      <c r="A1285" s="2" t="s">
        <v>3263</v>
      </c>
      <c r="B1285" s="2" t="s">
        <v>3264</v>
      </c>
      <c r="C1285" s="2" t="s">
        <v>17</v>
      </c>
      <c r="D1285" s="2" t="s">
        <v>18</v>
      </c>
      <c r="E1285" s="5">
        <v>-29971</v>
      </c>
      <c r="F1285" s="3" t="s">
        <v>517</v>
      </c>
      <c r="G1285" s="3" t="s">
        <v>20</v>
      </c>
      <c r="H1285" s="2" t="s">
        <v>21</v>
      </c>
      <c r="I1285" s="2" t="s">
        <v>3288</v>
      </c>
      <c r="J1285" s="3" t="str">
        <f>HYPERLINK("https://www.boe.es/gazeta/dias/1817/12/09/pdfs/GMD-1817-147.pdf#page=7","Abrir facsímil")</f>
        <v>Abrir facsímil</v>
      </c>
      <c r="K1285" s="3" t="s">
        <v>23</v>
      </c>
    </row>
    <row r="1286" spans="1:11" ht="42" customHeight="1">
      <c r="A1286" s="2" t="s">
        <v>3263</v>
      </c>
      <c r="B1286" s="2" t="s">
        <v>3264</v>
      </c>
      <c r="C1286" s="2" t="s">
        <v>17</v>
      </c>
      <c r="D1286" s="2" t="s">
        <v>18</v>
      </c>
      <c r="E1286" s="5">
        <v>-29957</v>
      </c>
      <c r="F1286" s="3" t="s">
        <v>1001</v>
      </c>
      <c r="G1286" s="3" t="s">
        <v>57</v>
      </c>
      <c r="H1286" s="2" t="s">
        <v>21</v>
      </c>
      <c r="I1286" s="2" t="s">
        <v>3289</v>
      </c>
      <c r="J1286" s="3" t="str">
        <f>HYPERLINK("https://www.boe.es/gazeta/dias/1817/12/23/pdfs/GMD-1817-153.pdf#page=6","Abrir facsímil")</f>
        <v>Abrir facsímil</v>
      </c>
      <c r="K1286" s="3" t="s">
        <v>23</v>
      </c>
    </row>
    <row r="1287" spans="1:11" ht="42" customHeight="1">
      <c r="A1287" s="2" t="s">
        <v>3290</v>
      </c>
      <c r="B1287" s="2" t="s">
        <v>3291</v>
      </c>
      <c r="C1287" s="2" t="s">
        <v>17</v>
      </c>
      <c r="D1287" s="2" t="s">
        <v>18</v>
      </c>
      <c r="E1287" s="5">
        <v>-30265</v>
      </c>
      <c r="F1287" s="3" t="s">
        <v>107</v>
      </c>
      <c r="G1287" s="3" t="s">
        <v>20</v>
      </c>
      <c r="H1287" s="2" t="s">
        <v>21</v>
      </c>
      <c r="I1287" s="2" t="s">
        <v>3292</v>
      </c>
      <c r="J1287" s="3" t="str">
        <f>HYPERLINK("https://www.boe.es/gazeta/dias/1817/02/18/pdfs/GMD-1817-21.pdf#page=7","Abrir facsímil")</f>
        <v>Abrir facsímil</v>
      </c>
      <c r="K1287" s="3" t="s">
        <v>23</v>
      </c>
    </row>
    <row r="1288" spans="1:11" ht="42" customHeight="1">
      <c r="A1288" s="2" t="s">
        <v>3290</v>
      </c>
      <c r="B1288" s="2" t="s">
        <v>3291</v>
      </c>
      <c r="C1288" s="2" t="s">
        <v>17</v>
      </c>
      <c r="D1288" s="2" t="s">
        <v>18</v>
      </c>
      <c r="E1288" s="5">
        <v>-30069</v>
      </c>
      <c r="F1288" s="3" t="s">
        <v>817</v>
      </c>
      <c r="G1288" s="3" t="s">
        <v>57</v>
      </c>
      <c r="H1288" s="2" t="s">
        <v>21</v>
      </c>
      <c r="I1288" s="2" t="s">
        <v>3293</v>
      </c>
      <c r="J1288" s="3" t="str">
        <f>HYPERLINK("https://www.boe.es/gazeta/dias/1817/09/02/pdfs/GMD-1817-105.pdf#page=6","Abrir facsímil")</f>
        <v>Abrir facsímil</v>
      </c>
      <c r="K1288" s="3" t="s">
        <v>23</v>
      </c>
    </row>
    <row r="1289" spans="1:11" ht="42" customHeight="1">
      <c r="A1289" s="2" t="s">
        <v>3294</v>
      </c>
      <c r="B1289" s="2" t="s">
        <v>3295</v>
      </c>
      <c r="C1289" s="2" t="s">
        <v>43</v>
      </c>
      <c r="D1289" s="2" t="s">
        <v>44</v>
      </c>
      <c r="E1289" s="5">
        <v>-30055</v>
      </c>
      <c r="F1289" s="3" t="s">
        <v>71</v>
      </c>
      <c r="G1289" s="3" t="s">
        <v>3296</v>
      </c>
      <c r="H1289" s="2" t="s">
        <v>21</v>
      </c>
      <c r="I1289" s="2" t="s">
        <v>3297</v>
      </c>
      <c r="J1289" s="3" t="str">
        <f>HYPERLINK("https://www.boe.es/gazeta/dias/1817/09/16/pdfs/GMD-1817-111.pdf#page=8","Abrir facsímil")</f>
        <v>Abrir facsímil</v>
      </c>
      <c r="K1289" s="3" t="s">
        <v>23</v>
      </c>
    </row>
    <row r="1290" spans="1:11" ht="42" customHeight="1">
      <c r="A1290" s="2" t="s">
        <v>3298</v>
      </c>
      <c r="B1290" s="2" t="s">
        <v>3299</v>
      </c>
      <c r="C1290" s="2" t="s">
        <v>17</v>
      </c>
      <c r="D1290" s="2" t="s">
        <v>18</v>
      </c>
      <c r="E1290" s="5">
        <v>-30128</v>
      </c>
      <c r="F1290" s="3" t="s">
        <v>761</v>
      </c>
      <c r="G1290" s="3" t="s">
        <v>3300</v>
      </c>
      <c r="H1290" s="2" t="s">
        <v>21</v>
      </c>
      <c r="I1290" s="2" t="s">
        <v>3301</v>
      </c>
      <c r="J1290" s="3" t="str">
        <f>HYPERLINK("https://www.boe.es/gazeta/dias/1817/07/05/pdfs/GMD-1817-80.pdf#page=8","Abrir facsímil")</f>
        <v>Abrir facsímil</v>
      </c>
      <c r="K1290" s="3" t="s">
        <v>23</v>
      </c>
    </row>
    <row r="1291" spans="1:11" ht="42" customHeight="1">
      <c r="A1291" s="2" t="s">
        <v>3298</v>
      </c>
      <c r="B1291" s="2" t="s">
        <v>3299</v>
      </c>
      <c r="C1291" s="2" t="s">
        <v>17</v>
      </c>
      <c r="D1291" s="2" t="s">
        <v>18</v>
      </c>
      <c r="E1291" s="5">
        <v>-29992</v>
      </c>
      <c r="F1291" s="3" t="s">
        <v>50</v>
      </c>
      <c r="G1291" s="3" t="s">
        <v>51</v>
      </c>
      <c r="H1291" s="2" t="s">
        <v>21</v>
      </c>
      <c r="I1291" s="2" t="s">
        <v>3302</v>
      </c>
      <c r="J1291" s="3" t="str">
        <f>HYPERLINK("https://www.boe.es/gazeta/dias/1817/11/18/pdfs/GMD-1817-138.pdf#page=8","Abrir facsímil")</f>
        <v>Abrir facsímil</v>
      </c>
      <c r="K1291" s="3" t="s">
        <v>23</v>
      </c>
    </row>
    <row r="1292" spans="1:11" ht="42" customHeight="1">
      <c r="A1292" s="2" t="s">
        <v>3303</v>
      </c>
      <c r="B1292" s="2" t="s">
        <v>3304</v>
      </c>
      <c r="C1292" s="2" t="s">
        <v>36</v>
      </c>
      <c r="D1292" s="2" t="s">
        <v>37</v>
      </c>
      <c r="E1292" s="5">
        <v>-30223</v>
      </c>
      <c r="F1292" s="3" t="s">
        <v>627</v>
      </c>
      <c r="G1292" s="3" t="s">
        <v>77</v>
      </c>
      <c r="H1292" s="2" t="s">
        <v>21</v>
      </c>
      <c r="I1292" s="2" t="s">
        <v>3305</v>
      </c>
      <c r="J1292" s="3" t="str">
        <f>HYPERLINK("https://www.boe.es/gazeta/dias/1817/04/01/pdfs/GMD-1817-39.pdf#page=8","Abrir facsímil")</f>
        <v>Abrir facsímil</v>
      </c>
      <c r="K1292" s="3" t="s">
        <v>23</v>
      </c>
    </row>
    <row r="1293" spans="1:11" ht="42" customHeight="1">
      <c r="A1293" s="2" t="s">
        <v>3306</v>
      </c>
      <c r="B1293" s="2" t="s">
        <v>3307</v>
      </c>
      <c r="C1293" s="2" t="s">
        <v>17</v>
      </c>
      <c r="D1293" s="2" t="s">
        <v>18</v>
      </c>
      <c r="E1293" s="5">
        <v>-30282</v>
      </c>
      <c r="F1293" s="3" t="s">
        <v>1049</v>
      </c>
      <c r="G1293" s="3" t="s">
        <v>2827</v>
      </c>
      <c r="H1293" s="2" t="s">
        <v>21</v>
      </c>
      <c r="I1293" s="2" t="s">
        <v>3308</v>
      </c>
      <c r="J1293" s="3" t="str">
        <f>HYPERLINK("https://www.boe.es/gazeta/dias/1817/02/01/pdfs/GMD-1817-14.pdf#page=8","Abrir facsímil")</f>
        <v>Abrir facsímil</v>
      </c>
      <c r="K1293" s="3" t="s">
        <v>23</v>
      </c>
    </row>
    <row r="1294" spans="1:11" ht="42" customHeight="1">
      <c r="A1294" s="2" t="s">
        <v>3306</v>
      </c>
      <c r="B1294" s="2" t="s">
        <v>3307</v>
      </c>
      <c r="C1294" s="2" t="s">
        <v>17</v>
      </c>
      <c r="D1294" s="2" t="s">
        <v>18</v>
      </c>
      <c r="E1294" s="5">
        <v>-30275</v>
      </c>
      <c r="F1294" s="3" t="s">
        <v>1025</v>
      </c>
      <c r="G1294" s="3" t="s">
        <v>77</v>
      </c>
      <c r="H1294" s="2" t="s">
        <v>21</v>
      </c>
      <c r="I1294" s="2" t="s">
        <v>3309</v>
      </c>
      <c r="J1294" s="3" t="str">
        <f>HYPERLINK("https://www.boe.es/gazeta/dias/1817/02/08/pdfs/GMD-1817-17.pdf#page=8","Abrir facsímil")</f>
        <v>Abrir facsímil</v>
      </c>
      <c r="K1294" s="3" t="s">
        <v>23</v>
      </c>
    </row>
    <row r="1295" spans="1:11" ht="42" customHeight="1">
      <c r="A1295" s="2" t="s">
        <v>3306</v>
      </c>
      <c r="B1295" s="2" t="s">
        <v>3307</v>
      </c>
      <c r="C1295" s="2" t="s">
        <v>17</v>
      </c>
      <c r="D1295" s="2" t="s">
        <v>18</v>
      </c>
      <c r="E1295" s="5">
        <v>-30249</v>
      </c>
      <c r="F1295" s="3" t="s">
        <v>120</v>
      </c>
      <c r="G1295" s="3" t="s">
        <v>77</v>
      </c>
      <c r="H1295" s="2" t="s">
        <v>21</v>
      </c>
      <c r="I1295" s="2" t="s">
        <v>3310</v>
      </c>
      <c r="J1295" s="3" t="str">
        <f>HYPERLINK("https://www.boe.es/gazeta/dias/1817/03/06/pdfs/GMD-1817-28.pdf#page=8","Abrir facsímil")</f>
        <v>Abrir facsímil</v>
      </c>
      <c r="K1295" s="3" t="s">
        <v>23</v>
      </c>
    </row>
    <row r="1296" spans="1:11" ht="42" customHeight="1">
      <c r="A1296" s="2" t="s">
        <v>3306</v>
      </c>
      <c r="B1296" s="2" t="s">
        <v>3307</v>
      </c>
      <c r="C1296" s="2" t="s">
        <v>17</v>
      </c>
      <c r="D1296" s="2" t="s">
        <v>18</v>
      </c>
      <c r="E1296" s="5">
        <v>-30247</v>
      </c>
      <c r="F1296" s="3" t="s">
        <v>1796</v>
      </c>
      <c r="G1296" s="3" t="s">
        <v>3311</v>
      </c>
      <c r="H1296" s="2" t="s">
        <v>21</v>
      </c>
      <c r="I1296" s="2" t="s">
        <v>3312</v>
      </c>
      <c r="J1296" s="3" t="str">
        <f>HYPERLINK("https://www.boe.es/gazeta/dias/1817/03/08/pdfs/GMD-1817-29.pdf#page=8","Abrir facsímil")</f>
        <v>Abrir facsímil</v>
      </c>
      <c r="K1296" s="3" t="s">
        <v>23</v>
      </c>
    </row>
    <row r="1297" spans="1:11" ht="42" customHeight="1">
      <c r="A1297" s="2" t="s">
        <v>3306</v>
      </c>
      <c r="B1297" s="2" t="s">
        <v>3307</v>
      </c>
      <c r="C1297" s="2" t="s">
        <v>17</v>
      </c>
      <c r="D1297" s="2" t="s">
        <v>18</v>
      </c>
      <c r="E1297" s="5">
        <v>-30174</v>
      </c>
      <c r="F1297" s="3" t="s">
        <v>19</v>
      </c>
      <c r="G1297" s="3" t="s">
        <v>20</v>
      </c>
      <c r="H1297" s="2" t="s">
        <v>21</v>
      </c>
      <c r="I1297" s="2" t="s">
        <v>3313</v>
      </c>
      <c r="J1297" s="3" t="str">
        <f>HYPERLINK("https://www.boe.es/gazeta/dias/1817/05/20/pdfs/GMD-1817-60.pdf#page=7","Abrir facsímil")</f>
        <v>Abrir facsímil</v>
      </c>
      <c r="K1297" s="3" t="s">
        <v>23</v>
      </c>
    </row>
    <row r="1298" spans="1:11" ht="42" customHeight="1">
      <c r="A1298" s="2" t="s">
        <v>3306</v>
      </c>
      <c r="B1298" s="2" t="s">
        <v>3307</v>
      </c>
      <c r="C1298" s="2" t="s">
        <v>17</v>
      </c>
      <c r="D1298" s="2" t="s">
        <v>18</v>
      </c>
      <c r="E1298" s="5">
        <v>-30149</v>
      </c>
      <c r="F1298" s="3" t="s">
        <v>430</v>
      </c>
      <c r="G1298" s="3" t="s">
        <v>77</v>
      </c>
      <c r="H1298" s="2" t="s">
        <v>21</v>
      </c>
      <c r="I1298" s="2" t="s">
        <v>3314</v>
      </c>
      <c r="J1298" s="3" t="str">
        <f>HYPERLINK("https://www.boe.es/gazeta/dias/1817/06/14/pdfs/GMD-1817-71.pdf#page=8","Abrir facsímil")</f>
        <v>Abrir facsímil</v>
      </c>
      <c r="K1298" s="3" t="s">
        <v>23</v>
      </c>
    </row>
    <row r="1299" spans="1:11" ht="42" customHeight="1">
      <c r="A1299" s="2" t="s">
        <v>3315</v>
      </c>
      <c r="B1299" s="2" t="s">
        <v>3316</v>
      </c>
      <c r="C1299" s="2" t="s">
        <v>36</v>
      </c>
      <c r="D1299" s="2" t="s">
        <v>37</v>
      </c>
      <c r="E1299" s="5">
        <v>-30065</v>
      </c>
      <c r="F1299" s="3" t="s">
        <v>201</v>
      </c>
      <c r="G1299" s="3" t="s">
        <v>20</v>
      </c>
      <c r="H1299" s="2" t="s">
        <v>21</v>
      </c>
      <c r="I1299" s="2" t="s">
        <v>3317</v>
      </c>
      <c r="J1299" s="3" t="str">
        <f>HYPERLINK("https://www.boe.es/gazeta/dias/1817/09/06/pdfs/GMD-1817-107.pdf#page=7","Abrir facsímil")</f>
        <v>Abrir facsímil</v>
      </c>
      <c r="K1299" s="3" t="s">
        <v>23</v>
      </c>
    </row>
    <row r="1300" spans="1:11" ht="42" customHeight="1">
      <c r="A1300" s="2" t="s">
        <v>3318</v>
      </c>
      <c r="B1300" s="2" t="s">
        <v>3319</v>
      </c>
      <c r="C1300" s="2" t="s">
        <v>49</v>
      </c>
      <c r="D1300" s="2" t="s">
        <v>44</v>
      </c>
      <c r="E1300" s="5">
        <v>-30083</v>
      </c>
      <c r="F1300" s="3" t="s">
        <v>1273</v>
      </c>
      <c r="G1300" s="3" t="s">
        <v>77</v>
      </c>
      <c r="H1300" s="2" t="s">
        <v>21</v>
      </c>
      <c r="I1300" s="2" t="s">
        <v>3320</v>
      </c>
      <c r="J1300" s="3" t="str">
        <f>HYPERLINK("https://www.boe.es/gazeta/dias/1817/08/19/pdfs/GMD-1817-99.pdf#page=8","Abrir facsímil")</f>
        <v>Abrir facsímil</v>
      </c>
      <c r="K1300" s="3" t="s">
        <v>23</v>
      </c>
    </row>
    <row r="1301" spans="1:11" ht="42" customHeight="1">
      <c r="A1301" s="2" t="s">
        <v>3321</v>
      </c>
      <c r="B1301" s="2" t="s">
        <v>3322</v>
      </c>
      <c r="C1301" s="2" t="s">
        <v>36</v>
      </c>
      <c r="D1301" s="2" t="s">
        <v>37</v>
      </c>
      <c r="E1301" s="5">
        <v>-30249</v>
      </c>
      <c r="F1301" s="3" t="s">
        <v>120</v>
      </c>
      <c r="G1301" s="3" t="s">
        <v>20</v>
      </c>
      <c r="H1301" s="2" t="s">
        <v>21</v>
      </c>
      <c r="I1301" s="2" t="s">
        <v>3323</v>
      </c>
      <c r="J1301" s="3" t="str">
        <f>HYPERLINK("https://www.boe.es/gazeta/dias/1817/03/06/pdfs/GMD-1817-28.pdf#page=7","Abrir facsímil")</f>
        <v>Abrir facsímil</v>
      </c>
      <c r="K1301" s="3" t="s">
        <v>23</v>
      </c>
    </row>
    <row r="1302" spans="1:11" ht="42" customHeight="1">
      <c r="A1302" s="2" t="s">
        <v>3324</v>
      </c>
      <c r="B1302" s="2" t="s">
        <v>3325</v>
      </c>
      <c r="C1302" s="2" t="s">
        <v>36</v>
      </c>
      <c r="D1302" s="2" t="s">
        <v>37</v>
      </c>
      <c r="E1302" s="5">
        <v>-29983</v>
      </c>
      <c r="F1302" s="3" t="s">
        <v>148</v>
      </c>
      <c r="G1302" s="3" t="s">
        <v>654</v>
      </c>
      <c r="H1302" s="2" t="s">
        <v>21</v>
      </c>
      <c r="I1302" s="2" t="s">
        <v>3326</v>
      </c>
      <c r="J1302" s="3" t="str">
        <f>HYPERLINK("https://www.boe.es/gazeta/dias/1817/11/27/pdfs/GMD-1817-142.pdf#page=4","Abrir facsímil")</f>
        <v>Abrir facsímil</v>
      </c>
      <c r="K1302" s="3" t="s">
        <v>23</v>
      </c>
    </row>
    <row r="1303" spans="1:11" ht="42" customHeight="1">
      <c r="A1303" s="2" t="s">
        <v>3327</v>
      </c>
      <c r="B1303" s="2" t="s">
        <v>3328</v>
      </c>
      <c r="C1303" s="2" t="s">
        <v>510</v>
      </c>
      <c r="D1303" s="2" t="s">
        <v>44</v>
      </c>
      <c r="E1303" s="5">
        <v>-30032</v>
      </c>
      <c r="F1303" s="3" t="s">
        <v>337</v>
      </c>
      <c r="G1303" s="3" t="s">
        <v>77</v>
      </c>
      <c r="H1303" s="2" t="s">
        <v>27</v>
      </c>
      <c r="I1303" s="2" t="s">
        <v>3329</v>
      </c>
      <c r="J1303" s="3" t="str">
        <f>HYPERLINK("https://www.boe.es/gazeta/dias/1817/10/09/pdfs/GMD-1817-121.pdf#page=8","Abrir facsímil")</f>
        <v>Abrir facsímil</v>
      </c>
      <c r="K1303" s="3" t="s">
        <v>29</v>
      </c>
    </row>
    <row r="1304" spans="1:11" ht="42" customHeight="1">
      <c r="A1304" s="2" t="s">
        <v>3330</v>
      </c>
      <c r="B1304" s="2" t="s">
        <v>3331</v>
      </c>
      <c r="C1304" s="2" t="s">
        <v>17</v>
      </c>
      <c r="D1304" s="2" t="s">
        <v>18</v>
      </c>
      <c r="E1304" s="5">
        <v>-30048</v>
      </c>
      <c r="F1304" s="3" t="s">
        <v>573</v>
      </c>
      <c r="G1304" s="3" t="s">
        <v>77</v>
      </c>
      <c r="H1304" s="2" t="s">
        <v>21</v>
      </c>
      <c r="I1304" s="2" t="s">
        <v>3332</v>
      </c>
      <c r="J1304" s="3" t="str">
        <f>HYPERLINK("https://www.boe.es/gazeta/dias/1817/09/23/pdfs/GMD-1817-114.pdf#page=8","Abrir facsímil")</f>
        <v>Abrir facsímil</v>
      </c>
      <c r="K1304" s="3" t="s">
        <v>23</v>
      </c>
    </row>
    <row r="1305" spans="1:11" ht="42" customHeight="1">
      <c r="A1305" s="2" t="s">
        <v>3333</v>
      </c>
      <c r="B1305" s="2" t="s">
        <v>3334</v>
      </c>
      <c r="C1305" s="2" t="s">
        <v>55</v>
      </c>
      <c r="D1305" s="2" t="s">
        <v>44</v>
      </c>
      <c r="E1305" s="5">
        <v>-30114</v>
      </c>
      <c r="F1305" s="3" t="s">
        <v>500</v>
      </c>
      <c r="G1305" s="3" t="s">
        <v>915</v>
      </c>
      <c r="H1305" s="2" t="s">
        <v>21</v>
      </c>
      <c r="I1305" s="2" t="s">
        <v>3335</v>
      </c>
      <c r="J1305" s="3" t="str">
        <f>HYPERLINK("https://www.boe.es/gazeta/dias/1817/07/19/pdfs/GMD-1817-86.pdf#page=6","Abrir facsímil")</f>
        <v>Abrir facsímil</v>
      </c>
      <c r="K1305" s="3" t="s">
        <v>23</v>
      </c>
    </row>
    <row r="1306" spans="1:11" ht="42" customHeight="1">
      <c r="A1306" s="2" t="s">
        <v>3336</v>
      </c>
      <c r="B1306" s="2" t="s">
        <v>3336</v>
      </c>
      <c r="C1306" s="2" t="s">
        <v>55</v>
      </c>
      <c r="D1306" s="2" t="s">
        <v>44</v>
      </c>
      <c r="E1306" s="5">
        <v>-30181</v>
      </c>
      <c r="F1306" s="3" t="s">
        <v>3337</v>
      </c>
      <c r="G1306" s="3" t="s">
        <v>144</v>
      </c>
      <c r="H1306" s="2" t="s">
        <v>21</v>
      </c>
      <c r="I1306" s="2" t="s">
        <v>3338</v>
      </c>
      <c r="J1306" s="3" t="str">
        <f>HYPERLINK("https://www.boe.es/gazeta/dias/1817/05/13/pdfs/GMD-1817-57.pdf#page=4","Abrir facsímil")</f>
        <v>Abrir facsímil</v>
      </c>
      <c r="K1306" s="3" t="s">
        <v>23</v>
      </c>
    </row>
    <row r="1307" spans="1:11" ht="42" customHeight="1">
      <c r="A1307" s="2" t="s">
        <v>3339</v>
      </c>
      <c r="B1307" s="2" t="s">
        <v>3339</v>
      </c>
      <c r="C1307" s="2" t="s">
        <v>43</v>
      </c>
      <c r="D1307" s="2" t="s">
        <v>44</v>
      </c>
      <c r="E1307" s="5">
        <v>-30181</v>
      </c>
      <c r="F1307" s="3" t="s">
        <v>3337</v>
      </c>
      <c r="G1307" s="3" t="s">
        <v>144</v>
      </c>
      <c r="H1307" s="2" t="s">
        <v>21</v>
      </c>
      <c r="I1307" s="2" t="s">
        <v>3340</v>
      </c>
      <c r="J1307" s="3" t="str">
        <f>HYPERLINK("https://www.boe.es/gazeta/dias/1817/05/13/pdfs/GMD-1817-57.pdf#page=4","Abrir facsímil")</f>
        <v>Abrir facsímil</v>
      </c>
      <c r="K1307" s="3" t="s">
        <v>23</v>
      </c>
    </row>
    <row r="1308" spans="1:11" ht="42" customHeight="1">
      <c r="A1308" s="2" t="s">
        <v>3341</v>
      </c>
      <c r="B1308" s="2" t="s">
        <v>3341</v>
      </c>
      <c r="C1308" s="2" t="s">
        <v>36</v>
      </c>
      <c r="D1308" s="2" t="s">
        <v>37</v>
      </c>
      <c r="E1308" s="5">
        <v>-29969</v>
      </c>
      <c r="F1308" s="3" t="s">
        <v>252</v>
      </c>
      <c r="G1308" s="3" t="s">
        <v>314</v>
      </c>
      <c r="H1308" s="2" t="s">
        <v>21</v>
      </c>
      <c r="I1308" s="2" t="s">
        <v>3342</v>
      </c>
      <c r="J1308" s="3" t="str">
        <f>HYPERLINK("https://www.boe.es/gazeta/dias/1817/12/11/pdfs/GMD-1817-148.pdf#page=10","Abrir facsímil")</f>
        <v>Abrir facsímil</v>
      </c>
      <c r="K1308" s="3" t="s">
        <v>23</v>
      </c>
    </row>
    <row r="1309" spans="1:11" ht="42" customHeight="1">
      <c r="A1309" s="2" t="s">
        <v>3343</v>
      </c>
      <c r="B1309" s="2" t="s">
        <v>3343</v>
      </c>
      <c r="C1309" s="2" t="s">
        <v>510</v>
      </c>
      <c r="D1309" s="2" t="s">
        <v>44</v>
      </c>
      <c r="E1309" s="5">
        <v>-30270</v>
      </c>
      <c r="F1309" s="3" t="s">
        <v>341</v>
      </c>
      <c r="G1309" s="3" t="s">
        <v>3344</v>
      </c>
      <c r="H1309" s="2" t="s">
        <v>21</v>
      </c>
      <c r="I1309" s="2" t="s">
        <v>3345</v>
      </c>
      <c r="J1309" s="3" t="str">
        <f>HYPERLINK("https://www.boe.es/gazeta/dias/1817/02/13/pdfs/GMD-1817-19.pdf#page=2","Abrir facsímil")</f>
        <v>Abrir facsímil</v>
      </c>
      <c r="K1309" s="3" t="s">
        <v>23</v>
      </c>
    </row>
    <row r="1310" spans="1:11" ht="42" customHeight="1">
      <c r="A1310" s="2" t="s">
        <v>3343</v>
      </c>
      <c r="B1310" s="2" t="s">
        <v>3343</v>
      </c>
      <c r="C1310" s="2" t="s">
        <v>36</v>
      </c>
      <c r="D1310" s="2" t="s">
        <v>37</v>
      </c>
      <c r="E1310" s="5">
        <v>-30258</v>
      </c>
      <c r="F1310" s="3" t="s">
        <v>234</v>
      </c>
      <c r="G1310" s="3" t="s">
        <v>3346</v>
      </c>
      <c r="H1310" s="2" t="s">
        <v>21</v>
      </c>
      <c r="I1310" s="2" t="s">
        <v>3347</v>
      </c>
      <c r="J1310" s="3" t="str">
        <f>HYPERLINK("https://www.boe.es/gazeta/dias/1817/02/25/pdfs/GMD-1817-24.pdf#page=2","Abrir facsímil")</f>
        <v>Abrir facsímil</v>
      </c>
      <c r="K1310" s="3" t="s">
        <v>23</v>
      </c>
    </row>
    <row r="1311" spans="1:11" ht="42" customHeight="1">
      <c r="A1311" s="2" t="s">
        <v>3343</v>
      </c>
      <c r="B1311" s="2" t="s">
        <v>3343</v>
      </c>
      <c r="C1311" s="2" t="s">
        <v>510</v>
      </c>
      <c r="D1311" s="2" t="s">
        <v>44</v>
      </c>
      <c r="E1311" s="5">
        <v>-30254</v>
      </c>
      <c r="F1311" s="3" t="s">
        <v>124</v>
      </c>
      <c r="G1311" s="3" t="s">
        <v>72</v>
      </c>
      <c r="H1311" s="2" t="s">
        <v>21</v>
      </c>
      <c r="I1311" s="2" t="s">
        <v>3348</v>
      </c>
      <c r="J1311" s="3" t="str">
        <f>HYPERLINK("https://www.boe.es/gazeta/dias/1817/03/01/pdfs/GMD-1817-26.pdf#page=1","Abrir facsímil")</f>
        <v>Abrir facsímil</v>
      </c>
      <c r="K1311" s="3" t="s">
        <v>23</v>
      </c>
    </row>
    <row r="1312" spans="1:11" ht="42" customHeight="1">
      <c r="A1312" s="2" t="s">
        <v>3343</v>
      </c>
      <c r="B1312" s="2" t="s">
        <v>3343</v>
      </c>
      <c r="C1312" s="2" t="s">
        <v>43</v>
      </c>
      <c r="D1312" s="2" t="s">
        <v>44</v>
      </c>
      <c r="E1312" s="5">
        <v>-30212</v>
      </c>
      <c r="F1312" s="3" t="s">
        <v>745</v>
      </c>
      <c r="G1312" s="3" t="s">
        <v>3349</v>
      </c>
      <c r="H1312" s="2" t="s">
        <v>21</v>
      </c>
      <c r="I1312" s="2" t="s">
        <v>3350</v>
      </c>
      <c r="J1312" s="3" t="str">
        <f>HYPERLINK("https://www.boe.es/gazeta/dias/1817/04/12/pdfs/GMD-1817-44.pdf#page=4","Abrir facsímil")</f>
        <v>Abrir facsímil</v>
      </c>
      <c r="K1312" s="3" t="s">
        <v>23</v>
      </c>
    </row>
    <row r="1313" spans="1:11" ht="42" customHeight="1">
      <c r="A1313" s="2" t="s">
        <v>3343</v>
      </c>
      <c r="B1313" s="2" t="s">
        <v>3343</v>
      </c>
      <c r="C1313" s="2" t="s">
        <v>36</v>
      </c>
      <c r="D1313" s="2" t="s">
        <v>37</v>
      </c>
      <c r="E1313" s="5">
        <v>-30202</v>
      </c>
      <c r="F1313" s="3" t="s">
        <v>418</v>
      </c>
      <c r="G1313" s="3" t="s">
        <v>72</v>
      </c>
      <c r="H1313" s="2" t="s">
        <v>21</v>
      </c>
      <c r="I1313" s="2" t="s">
        <v>3351</v>
      </c>
      <c r="J1313" s="3" t="str">
        <f>HYPERLINK("https://www.boe.es/gazeta/dias/1817/04/22/pdfs/GMD-1817-48.pdf#page=1","Abrir facsímil")</f>
        <v>Abrir facsímil</v>
      </c>
      <c r="K1313" s="3" t="s">
        <v>23</v>
      </c>
    </row>
    <row r="1314" spans="1:11" ht="42" customHeight="1">
      <c r="A1314" s="2" t="s">
        <v>3343</v>
      </c>
      <c r="B1314" s="2" t="s">
        <v>3343</v>
      </c>
      <c r="C1314" s="2" t="s">
        <v>17</v>
      </c>
      <c r="D1314" s="2" t="s">
        <v>18</v>
      </c>
      <c r="E1314" s="5">
        <v>-30177</v>
      </c>
      <c r="F1314" s="3" t="s">
        <v>633</v>
      </c>
      <c r="G1314" s="3" t="s">
        <v>551</v>
      </c>
      <c r="H1314" s="2" t="s">
        <v>21</v>
      </c>
      <c r="I1314" s="2" t="s">
        <v>3352</v>
      </c>
      <c r="J1314" s="3" t="str">
        <f>HYPERLINK("https://www.boe.es/gazeta/dias/1817/05/17/pdfs/GMD-1817-59.pdf#page=3","Abrir facsímil")</f>
        <v>Abrir facsímil</v>
      </c>
      <c r="K1314" s="3" t="s">
        <v>23</v>
      </c>
    </row>
    <row r="1315" spans="1:11" ht="42" customHeight="1">
      <c r="A1315" s="2" t="s">
        <v>3343</v>
      </c>
      <c r="B1315" s="2" t="s">
        <v>3343</v>
      </c>
      <c r="C1315" s="2" t="s">
        <v>36</v>
      </c>
      <c r="D1315" s="2" t="s">
        <v>37</v>
      </c>
      <c r="E1315" s="5">
        <v>-30170</v>
      </c>
      <c r="F1315" s="3" t="s">
        <v>98</v>
      </c>
      <c r="G1315" s="3" t="s">
        <v>39</v>
      </c>
      <c r="H1315" s="2" t="s">
        <v>21</v>
      </c>
      <c r="I1315" s="2" t="s">
        <v>3353</v>
      </c>
      <c r="J1315" s="3" t="str">
        <f>HYPERLINK("https://www.boe.es/gazeta/dias/1817/05/24/pdfs/GMD-1817-62.pdf#page=5","Abrir facsímil")</f>
        <v>Abrir facsímil</v>
      </c>
      <c r="K1315" s="3" t="s">
        <v>23</v>
      </c>
    </row>
    <row r="1316" spans="1:11" ht="42" customHeight="1">
      <c r="A1316" s="2" t="s">
        <v>3343</v>
      </c>
      <c r="B1316" s="2" t="s">
        <v>3343</v>
      </c>
      <c r="C1316" s="2" t="s">
        <v>510</v>
      </c>
      <c r="D1316" s="2" t="s">
        <v>44</v>
      </c>
      <c r="E1316" s="5">
        <v>-30158</v>
      </c>
      <c r="F1316" s="3" t="s">
        <v>305</v>
      </c>
      <c r="G1316" s="3" t="s">
        <v>629</v>
      </c>
      <c r="H1316" s="2" t="s">
        <v>21</v>
      </c>
      <c r="I1316" s="2" t="s">
        <v>3354</v>
      </c>
      <c r="J1316" s="3" t="str">
        <f>HYPERLINK("https://www.boe.es/gazeta/dias/1817/06/05/pdfs/GMD-1817-67.pdf#page=2","Abrir facsímil")</f>
        <v>Abrir facsímil</v>
      </c>
      <c r="K1316" s="3" t="s">
        <v>23</v>
      </c>
    </row>
    <row r="1317" spans="1:11" ht="42" customHeight="1">
      <c r="A1317" s="2" t="s">
        <v>3343</v>
      </c>
      <c r="B1317" s="2" t="s">
        <v>3343</v>
      </c>
      <c r="C1317" s="2" t="s">
        <v>36</v>
      </c>
      <c r="D1317" s="2" t="s">
        <v>37</v>
      </c>
      <c r="E1317" s="5">
        <v>-30156</v>
      </c>
      <c r="F1317" s="3" t="s">
        <v>635</v>
      </c>
      <c r="G1317" s="3" t="s">
        <v>144</v>
      </c>
      <c r="H1317" s="2" t="s">
        <v>21</v>
      </c>
      <c r="I1317" s="2" t="s">
        <v>3355</v>
      </c>
      <c r="J1317" s="3" t="str">
        <f>HYPERLINK("https://www.boe.es/gazeta/dias/1817/06/07/pdfs/GMD-1817-68.pdf#page=4","Abrir facsímil")</f>
        <v>Abrir facsímil</v>
      </c>
      <c r="K1317" s="3" t="s">
        <v>23</v>
      </c>
    </row>
    <row r="1318" spans="1:11" ht="42" customHeight="1">
      <c r="A1318" s="2" t="s">
        <v>3356</v>
      </c>
      <c r="B1318" s="2" t="s">
        <v>3357</v>
      </c>
      <c r="C1318" s="2" t="s">
        <v>36</v>
      </c>
      <c r="D1318" s="2" t="s">
        <v>37</v>
      </c>
      <c r="E1318" s="5">
        <v>-29995</v>
      </c>
      <c r="F1318" s="3" t="s">
        <v>514</v>
      </c>
      <c r="G1318" s="3" t="s">
        <v>515</v>
      </c>
      <c r="H1318" s="2" t="s">
        <v>21</v>
      </c>
      <c r="I1318" s="2" t="s">
        <v>3358</v>
      </c>
      <c r="J1318" s="3" t="str">
        <f>HYPERLINK("https://www.boe.es/gazeta/dias/1817/11/15/pdfs/GMD-1817-137.pdf#page=8","Abrir facsímil")</f>
        <v>Abrir facsímil</v>
      </c>
      <c r="K1318" s="3" t="s">
        <v>23</v>
      </c>
    </row>
    <row r="1319" spans="1:11" ht="42" customHeight="1">
      <c r="A1319" s="2" t="s">
        <v>3359</v>
      </c>
      <c r="B1319" s="2" t="s">
        <v>3359</v>
      </c>
      <c r="C1319" s="2" t="s">
        <v>36</v>
      </c>
      <c r="D1319" s="2" t="s">
        <v>37</v>
      </c>
      <c r="E1319" s="5">
        <v>-30067</v>
      </c>
      <c r="F1319" s="3" t="s">
        <v>1221</v>
      </c>
      <c r="G1319" s="3" t="s">
        <v>551</v>
      </c>
      <c r="H1319" s="2" t="s">
        <v>21</v>
      </c>
      <c r="I1319" s="2" t="s">
        <v>3360</v>
      </c>
      <c r="J1319" s="3" t="str">
        <f>HYPERLINK("https://www.boe.es/gazeta/dias/1817/09/04/pdfs/GMD-1817-106.pdf#page=3","Abrir facsímil")</f>
        <v>Abrir facsímil</v>
      </c>
      <c r="K1319" s="3" t="s">
        <v>23</v>
      </c>
    </row>
    <row r="1320" spans="1:11" ht="42" customHeight="1">
      <c r="A1320" s="2" t="s">
        <v>3361</v>
      </c>
      <c r="B1320" s="2" t="s">
        <v>3362</v>
      </c>
      <c r="C1320" s="2" t="s">
        <v>36</v>
      </c>
      <c r="D1320" s="2" t="s">
        <v>37</v>
      </c>
      <c r="E1320" s="5">
        <v>-30065</v>
      </c>
      <c r="F1320" s="3" t="s">
        <v>201</v>
      </c>
      <c r="G1320" s="3" t="s">
        <v>20</v>
      </c>
      <c r="H1320" s="2" t="s">
        <v>21</v>
      </c>
      <c r="I1320" s="2" t="s">
        <v>3363</v>
      </c>
      <c r="J1320" s="3" t="str">
        <f>HYPERLINK("https://www.boe.es/gazeta/dias/1817/09/06/pdfs/GMD-1817-107.pdf#page=7","Abrir facsímil")</f>
        <v>Abrir facsímil</v>
      </c>
      <c r="K1320" s="3" t="s">
        <v>23</v>
      </c>
    </row>
    <row r="1321" spans="1:11" ht="42" customHeight="1">
      <c r="A1321" s="2" t="s">
        <v>3364</v>
      </c>
      <c r="B1321" s="2" t="s">
        <v>3365</v>
      </c>
      <c r="C1321" s="2" t="s">
        <v>43</v>
      </c>
      <c r="D1321" s="2" t="s">
        <v>44</v>
      </c>
      <c r="E1321" s="5">
        <v>-30293</v>
      </c>
      <c r="F1321" s="3" t="s">
        <v>143</v>
      </c>
      <c r="G1321" s="3" t="s">
        <v>2365</v>
      </c>
      <c r="H1321" s="2" t="s">
        <v>21</v>
      </c>
      <c r="I1321" s="2" t="s">
        <v>3366</v>
      </c>
      <c r="J1321" s="3" t="str">
        <f>HYPERLINK("https://www.boe.es/gazeta/dias/1817/01/21/pdfs/GMD-1817-9.pdf#page=8","Abrir facsímil")</f>
        <v>Abrir facsímil</v>
      </c>
      <c r="K1321" s="3" t="s">
        <v>23</v>
      </c>
    </row>
    <row r="1322" spans="1:11" ht="42" customHeight="1">
      <c r="A1322" s="2" t="s">
        <v>3367</v>
      </c>
      <c r="B1322" s="2" t="s">
        <v>3367</v>
      </c>
      <c r="C1322" s="2" t="s">
        <v>138</v>
      </c>
      <c r="D1322" s="2" t="s">
        <v>44</v>
      </c>
      <c r="E1322" s="5">
        <v>-30002</v>
      </c>
      <c r="F1322" s="3" t="s">
        <v>469</v>
      </c>
      <c r="G1322" s="3" t="s">
        <v>551</v>
      </c>
      <c r="H1322" s="2" t="s">
        <v>21</v>
      </c>
      <c r="I1322" s="2" t="s">
        <v>3368</v>
      </c>
      <c r="J1322" s="3" t="str">
        <f>HYPERLINK("https://www.boe.es/gazeta/dias/1817/11/08/pdfs/GMD-1817-134.pdf#page=3","Abrir facsímil")</f>
        <v>Abrir facsímil</v>
      </c>
      <c r="K1322" s="3" t="s">
        <v>23</v>
      </c>
    </row>
    <row r="1323" spans="1:11" ht="42" customHeight="1">
      <c r="A1323" s="2" t="s">
        <v>3369</v>
      </c>
      <c r="B1323" s="2" t="s">
        <v>3370</v>
      </c>
      <c r="C1323" s="2" t="s">
        <v>36</v>
      </c>
      <c r="D1323" s="2" t="s">
        <v>37</v>
      </c>
      <c r="E1323" s="5">
        <v>-30039</v>
      </c>
      <c r="F1323" s="3" t="s">
        <v>558</v>
      </c>
      <c r="G1323" s="3" t="s">
        <v>1592</v>
      </c>
      <c r="H1323" s="2" t="s">
        <v>21</v>
      </c>
      <c r="I1323" s="2" t="s">
        <v>3371</v>
      </c>
      <c r="J1323" s="3" t="str">
        <f>HYPERLINK("https://www.boe.es/gazeta/dias/1817/10/02/pdfs/GMD-1817-118.pdf#page=6","Abrir facsímil")</f>
        <v>Abrir facsímil</v>
      </c>
      <c r="K1323" s="3" t="s">
        <v>23</v>
      </c>
    </row>
    <row r="1324" spans="1:11" ht="42" customHeight="1">
      <c r="A1324" s="2" t="s">
        <v>3372</v>
      </c>
      <c r="B1324" s="2" t="s">
        <v>3373</v>
      </c>
      <c r="C1324" s="2" t="s">
        <v>43</v>
      </c>
      <c r="D1324" s="2" t="s">
        <v>44</v>
      </c>
      <c r="E1324" s="5">
        <v>-30303</v>
      </c>
      <c r="F1324" s="3" t="s">
        <v>407</v>
      </c>
      <c r="G1324" s="3" t="s">
        <v>39</v>
      </c>
      <c r="H1324" s="2" t="s">
        <v>21</v>
      </c>
      <c r="I1324" s="2" t="s">
        <v>3374</v>
      </c>
      <c r="J1324" s="3" t="str">
        <f>HYPERLINK("https://www.boe.es/gazeta/dias/1817/01/11/pdfs/GMD-1817-5.pdf#page=5","Abrir facsímil")</f>
        <v>Abrir facsímil</v>
      </c>
      <c r="K1324" s="3" t="s">
        <v>23</v>
      </c>
    </row>
    <row r="1325" spans="1:11" ht="42" customHeight="1">
      <c r="A1325" s="2" t="s">
        <v>3375</v>
      </c>
      <c r="B1325" s="2" t="s">
        <v>3375</v>
      </c>
      <c r="C1325" s="2" t="s">
        <v>43</v>
      </c>
      <c r="D1325" s="2" t="s">
        <v>44</v>
      </c>
      <c r="E1325" s="5">
        <v>-30044</v>
      </c>
      <c r="F1325" s="3" t="s">
        <v>450</v>
      </c>
      <c r="G1325" s="3" t="s">
        <v>1381</v>
      </c>
      <c r="H1325" s="2" t="s">
        <v>21</v>
      </c>
      <c r="I1325" s="2" t="s">
        <v>3376</v>
      </c>
      <c r="J1325" s="3" t="str">
        <f>HYPERLINK("https://www.boe.es/gazeta/dias/1817/09/27/pdfs/GMD-1817-116.pdf#page=4","Abrir facsímil")</f>
        <v>Abrir facsímil</v>
      </c>
      <c r="K1325" s="3" t="s">
        <v>23</v>
      </c>
    </row>
    <row r="1326" spans="1:11" ht="42" customHeight="1">
      <c r="A1326" s="2" t="s">
        <v>3377</v>
      </c>
      <c r="B1326" s="2" t="s">
        <v>3378</v>
      </c>
      <c r="C1326" s="2" t="s">
        <v>43</v>
      </c>
      <c r="D1326" s="2" t="s">
        <v>44</v>
      </c>
      <c r="E1326" s="5">
        <v>-29976</v>
      </c>
      <c r="F1326" s="3" t="s">
        <v>81</v>
      </c>
      <c r="G1326" s="3" t="s">
        <v>82</v>
      </c>
      <c r="H1326" s="2" t="s">
        <v>21</v>
      </c>
      <c r="I1326" s="2" t="s">
        <v>3379</v>
      </c>
      <c r="J1326" s="3" t="str">
        <f>HYPERLINK("https://www.boe.es/gazeta/dias/1817/12/04/pdfs/GMD-1817-145.pdf#page=12","Abrir facsímil")</f>
        <v>Abrir facsímil</v>
      </c>
      <c r="K1326" s="3" t="s">
        <v>23</v>
      </c>
    </row>
    <row r="1327" spans="1:11" ht="42" customHeight="1">
      <c r="A1327" s="2" t="s">
        <v>3380</v>
      </c>
      <c r="B1327" s="2" t="s">
        <v>3381</v>
      </c>
      <c r="C1327" s="2" t="s">
        <v>43</v>
      </c>
      <c r="D1327" s="2" t="s">
        <v>44</v>
      </c>
      <c r="E1327" s="5">
        <v>-30004</v>
      </c>
      <c r="F1327" s="3" t="s">
        <v>329</v>
      </c>
      <c r="G1327" s="3" t="s">
        <v>551</v>
      </c>
      <c r="H1327" s="2" t="s">
        <v>21</v>
      </c>
      <c r="I1327" s="2" t="s">
        <v>3382</v>
      </c>
      <c r="J1327" s="3" t="str">
        <f>HYPERLINK("https://www.boe.es/gazeta/dias/1817/11/06/pdfs/GMD-1817-133.pdf#page=3","Abrir facsímil")</f>
        <v>Abrir facsímil</v>
      </c>
      <c r="K1327" s="3" t="s">
        <v>23</v>
      </c>
    </row>
    <row r="1328" spans="1:11" ht="42" customHeight="1">
      <c r="A1328" s="2" t="s">
        <v>3383</v>
      </c>
      <c r="B1328" s="2" t="s">
        <v>3384</v>
      </c>
      <c r="C1328" s="2" t="s">
        <v>43</v>
      </c>
      <c r="D1328" s="2" t="s">
        <v>44</v>
      </c>
      <c r="E1328" s="5">
        <v>-30004</v>
      </c>
      <c r="F1328" s="3" t="s">
        <v>329</v>
      </c>
      <c r="G1328" s="3" t="s">
        <v>629</v>
      </c>
      <c r="H1328" s="2" t="s">
        <v>21</v>
      </c>
      <c r="I1328" s="2" t="s">
        <v>3385</v>
      </c>
      <c r="J1328" s="3" t="str">
        <f>HYPERLINK("https://www.boe.es/gazeta/dias/1817/11/06/pdfs/GMD-1817-133.pdf#page=2","Abrir facsímil")</f>
        <v>Abrir facsímil</v>
      </c>
      <c r="K1328" s="3" t="s">
        <v>23</v>
      </c>
    </row>
    <row r="1329" spans="1:11" ht="42" customHeight="1">
      <c r="A1329" s="2" t="s">
        <v>3386</v>
      </c>
      <c r="B1329" s="2" t="s">
        <v>3386</v>
      </c>
      <c r="C1329" s="2" t="s">
        <v>36</v>
      </c>
      <c r="D1329" s="2" t="s">
        <v>37</v>
      </c>
      <c r="E1329" s="5">
        <v>-30272</v>
      </c>
      <c r="F1329" s="3" t="s">
        <v>493</v>
      </c>
      <c r="G1329" s="3" t="s">
        <v>39</v>
      </c>
      <c r="H1329" s="2" t="s">
        <v>21</v>
      </c>
      <c r="I1329" s="2" t="s">
        <v>3387</v>
      </c>
      <c r="J1329" s="3" t="str">
        <f>HYPERLINK("https://www.boe.es/gazeta/dias/1817/02/11/pdfs/GMD-1817-18.pdf#page=5","Abrir facsímil")</f>
        <v>Abrir facsímil</v>
      </c>
      <c r="K1329" s="3" t="s">
        <v>23</v>
      </c>
    </row>
    <row r="1330" spans="1:11" ht="42" customHeight="1">
      <c r="A1330" s="2" t="s">
        <v>3388</v>
      </c>
      <c r="B1330" s="2" t="s">
        <v>3388</v>
      </c>
      <c r="C1330" s="2" t="s">
        <v>36</v>
      </c>
      <c r="D1330" s="2" t="s">
        <v>37</v>
      </c>
      <c r="E1330" s="5">
        <v>-29995</v>
      </c>
      <c r="F1330" s="3" t="s">
        <v>514</v>
      </c>
      <c r="G1330" s="3" t="s">
        <v>57</v>
      </c>
      <c r="H1330" s="2" t="s">
        <v>21</v>
      </c>
      <c r="I1330" s="2" t="s">
        <v>3389</v>
      </c>
      <c r="J1330" s="3" t="str">
        <f>HYPERLINK("https://www.boe.es/gazeta/dias/1817/11/15/pdfs/GMD-1817-137.pdf#page=6","Abrir facsímil")</f>
        <v>Abrir facsímil</v>
      </c>
      <c r="K1330" s="3" t="s">
        <v>23</v>
      </c>
    </row>
    <row r="1331" spans="1:11" ht="42" customHeight="1">
      <c r="A1331" s="2" t="s">
        <v>3390</v>
      </c>
      <c r="B1331" s="2" t="s">
        <v>3390</v>
      </c>
      <c r="C1331" s="2" t="s">
        <v>43</v>
      </c>
      <c r="D1331" s="2" t="s">
        <v>44</v>
      </c>
      <c r="E1331" s="5">
        <v>-30307</v>
      </c>
      <c r="F1331" s="3" t="s">
        <v>67</v>
      </c>
      <c r="G1331" s="3" t="s">
        <v>739</v>
      </c>
      <c r="H1331" s="2" t="s">
        <v>21</v>
      </c>
      <c r="I1331" s="2" t="s">
        <v>3391</v>
      </c>
      <c r="J1331" s="3" t="str">
        <f>HYPERLINK("https://www.boe.es/gazeta/dias/1817/01/07/pdfs/GMD-1817-3.pdf#page=6","Abrir facsímil")</f>
        <v>Abrir facsímil</v>
      </c>
      <c r="K1331" s="3" t="s">
        <v>23</v>
      </c>
    </row>
    <row r="1332" spans="1:11" ht="42" customHeight="1">
      <c r="A1332" s="2" t="s">
        <v>3390</v>
      </c>
      <c r="B1332" s="2" t="s">
        <v>3390</v>
      </c>
      <c r="C1332" s="2" t="s">
        <v>43</v>
      </c>
      <c r="D1332" s="2" t="s">
        <v>44</v>
      </c>
      <c r="E1332" s="5">
        <v>-30268</v>
      </c>
      <c r="F1332" s="3" t="s">
        <v>1160</v>
      </c>
      <c r="G1332" s="3" t="s">
        <v>57</v>
      </c>
      <c r="H1332" s="2" t="s">
        <v>21</v>
      </c>
      <c r="I1332" s="2" t="s">
        <v>3392</v>
      </c>
      <c r="J1332" s="3" t="str">
        <f>HYPERLINK("https://www.boe.es/gazeta/dias/1817/02/15/pdfs/GMD-1817-20.pdf#page=6","Abrir facsímil")</f>
        <v>Abrir facsímil</v>
      </c>
      <c r="K1332" s="3" t="s">
        <v>23</v>
      </c>
    </row>
    <row r="1333" spans="1:11" ht="42" customHeight="1">
      <c r="A1333" s="2" t="s">
        <v>3390</v>
      </c>
      <c r="B1333" s="2" t="s">
        <v>3390</v>
      </c>
      <c r="C1333" s="2" t="s">
        <v>43</v>
      </c>
      <c r="D1333" s="2" t="s">
        <v>44</v>
      </c>
      <c r="E1333" s="5">
        <v>-30030</v>
      </c>
      <c r="F1333" s="3" t="s">
        <v>508</v>
      </c>
      <c r="G1333" s="3" t="s">
        <v>39</v>
      </c>
      <c r="H1333" s="2" t="s">
        <v>21</v>
      </c>
      <c r="I1333" s="2" t="s">
        <v>3393</v>
      </c>
      <c r="J1333" s="3" t="str">
        <f>HYPERLINK("https://www.boe.es/gazeta/dias/1817/10/11/pdfs/GMD-1817-122.pdf#page=5","Abrir facsímil")</f>
        <v>Abrir facsímil</v>
      </c>
      <c r="K1333" s="3" t="s">
        <v>23</v>
      </c>
    </row>
    <row r="1334" spans="1:11" ht="42" customHeight="1">
      <c r="A1334" s="2" t="s">
        <v>3390</v>
      </c>
      <c r="B1334" s="2" t="s">
        <v>3390</v>
      </c>
      <c r="C1334" s="2" t="s">
        <v>36</v>
      </c>
      <c r="D1334" s="2" t="s">
        <v>37</v>
      </c>
      <c r="E1334" s="5">
        <v>-30009</v>
      </c>
      <c r="F1334" s="3" t="s">
        <v>512</v>
      </c>
      <c r="G1334" s="3" t="s">
        <v>57</v>
      </c>
      <c r="H1334" s="2" t="s">
        <v>21</v>
      </c>
      <c r="I1334" s="2" t="s">
        <v>3394</v>
      </c>
      <c r="J1334" s="3" t="str">
        <f>HYPERLINK("https://www.boe.es/gazeta/dias/1817/11/01/pdfs/GMD-1817-131.pdf#page=6","Abrir facsímil")</f>
        <v>Abrir facsímil</v>
      </c>
      <c r="K1334" s="3" t="s">
        <v>23</v>
      </c>
    </row>
    <row r="1335" spans="1:11" ht="42" customHeight="1">
      <c r="A1335" s="2" t="s">
        <v>3390</v>
      </c>
      <c r="B1335" s="2" t="s">
        <v>3390</v>
      </c>
      <c r="C1335" s="2" t="s">
        <v>43</v>
      </c>
      <c r="D1335" s="2" t="s">
        <v>44</v>
      </c>
      <c r="E1335" s="5">
        <v>-29995</v>
      </c>
      <c r="F1335" s="3" t="s">
        <v>514</v>
      </c>
      <c r="G1335" s="3" t="s">
        <v>1082</v>
      </c>
      <c r="H1335" s="2" t="s">
        <v>21</v>
      </c>
      <c r="I1335" s="2" t="s">
        <v>3395</v>
      </c>
      <c r="J1335" s="3" t="str">
        <f>HYPERLINK("https://www.boe.es/gazeta/dias/1817/11/15/pdfs/GMD-1817-137.pdf#page=5","Abrir facsímil")</f>
        <v>Abrir facsímil</v>
      </c>
      <c r="K1335" s="3" t="s">
        <v>23</v>
      </c>
    </row>
    <row r="1336" spans="1:11" ht="42" customHeight="1">
      <c r="A1336" s="2" t="s">
        <v>3390</v>
      </c>
      <c r="B1336" s="2" t="s">
        <v>3390</v>
      </c>
      <c r="C1336" s="2" t="s">
        <v>36</v>
      </c>
      <c r="D1336" s="2" t="s">
        <v>37</v>
      </c>
      <c r="E1336" s="5">
        <v>-29995</v>
      </c>
      <c r="F1336" s="3" t="s">
        <v>514</v>
      </c>
      <c r="G1336" s="3" t="s">
        <v>551</v>
      </c>
      <c r="H1336" s="2" t="s">
        <v>21</v>
      </c>
      <c r="I1336" s="2" t="s">
        <v>3396</v>
      </c>
      <c r="J1336" s="3" t="str">
        <f>HYPERLINK("https://www.boe.es/gazeta/dias/1817/11/15/pdfs/GMD-1817-137.pdf#page=3","Abrir facsímil")</f>
        <v>Abrir facsímil</v>
      </c>
      <c r="K1336" s="3" t="s">
        <v>23</v>
      </c>
    </row>
    <row r="1337" spans="1:11" ht="42" customHeight="1">
      <c r="A1337" s="2" t="s">
        <v>3390</v>
      </c>
      <c r="B1337" s="2" t="s">
        <v>3390</v>
      </c>
      <c r="C1337" s="2" t="s">
        <v>97</v>
      </c>
      <c r="D1337" s="2" t="s">
        <v>44</v>
      </c>
      <c r="E1337" s="5">
        <v>-29971</v>
      </c>
      <c r="F1337" s="3" t="s">
        <v>517</v>
      </c>
      <c r="G1337" s="3" t="s">
        <v>20</v>
      </c>
      <c r="H1337" s="2" t="s">
        <v>21</v>
      </c>
      <c r="I1337" s="2" t="s">
        <v>3397</v>
      </c>
      <c r="J1337" s="3" t="str">
        <f>HYPERLINK("https://www.boe.es/gazeta/dias/1817/12/09/pdfs/GMD-1817-147.pdf#page=7","Abrir facsímil")</f>
        <v>Abrir facsímil</v>
      </c>
      <c r="K1337" s="3" t="s">
        <v>23</v>
      </c>
    </row>
    <row r="1338" spans="1:11" ht="42" customHeight="1">
      <c r="A1338" s="2" t="s">
        <v>3398</v>
      </c>
      <c r="B1338" s="2" t="s">
        <v>3399</v>
      </c>
      <c r="C1338" s="2" t="s">
        <v>36</v>
      </c>
      <c r="D1338" s="2" t="s">
        <v>37</v>
      </c>
      <c r="E1338" s="5">
        <v>-30261</v>
      </c>
      <c r="F1338" s="3" t="s">
        <v>226</v>
      </c>
      <c r="G1338" s="3" t="s">
        <v>57</v>
      </c>
      <c r="H1338" s="2" t="s">
        <v>27</v>
      </c>
      <c r="I1338" s="2" t="s">
        <v>3400</v>
      </c>
      <c r="J1338" s="3" t="str">
        <f>HYPERLINK("https://www.boe.es/gazeta/dias/1817/02/22/pdfs/GMD-1817-23.pdf#page=6","Abrir facsímil")</f>
        <v>Abrir facsímil</v>
      </c>
      <c r="K1338" s="3" t="s">
        <v>29</v>
      </c>
    </row>
    <row r="1339" spans="1:11" ht="42" customHeight="1">
      <c r="A1339" s="2" t="s">
        <v>3401</v>
      </c>
      <c r="B1339" s="2" t="s">
        <v>3401</v>
      </c>
      <c r="C1339" s="2" t="s">
        <v>36</v>
      </c>
      <c r="D1339" s="2" t="s">
        <v>37</v>
      </c>
      <c r="E1339" s="5">
        <v>-30118</v>
      </c>
      <c r="F1339" s="3" t="s">
        <v>432</v>
      </c>
      <c r="G1339" s="3" t="s">
        <v>39</v>
      </c>
      <c r="H1339" s="2" t="s">
        <v>21</v>
      </c>
      <c r="I1339" s="2" t="s">
        <v>3402</v>
      </c>
      <c r="J1339" s="3" t="str">
        <f>HYPERLINK("https://www.boe.es/gazeta/dias/1817/07/15/pdfs/GMD-1817-84.pdf#page=5","Abrir facsímil")</f>
        <v>Abrir facsímil</v>
      </c>
      <c r="K1339" s="3" t="s">
        <v>23</v>
      </c>
    </row>
    <row r="1340" spans="1:11" ht="42" customHeight="1">
      <c r="A1340" s="2" t="s">
        <v>3401</v>
      </c>
      <c r="B1340" s="2" t="s">
        <v>3401</v>
      </c>
      <c r="C1340" s="2" t="s">
        <v>36</v>
      </c>
      <c r="D1340" s="2" t="s">
        <v>37</v>
      </c>
      <c r="E1340" s="5">
        <v>-30006</v>
      </c>
      <c r="F1340" s="3" t="s">
        <v>210</v>
      </c>
      <c r="G1340" s="3" t="s">
        <v>39</v>
      </c>
      <c r="H1340" s="2" t="s">
        <v>21</v>
      </c>
      <c r="I1340" s="2" t="s">
        <v>3403</v>
      </c>
      <c r="J1340" s="3" t="str">
        <f>HYPERLINK("https://www.boe.es/gazeta/dias/1817/11/04/pdfs/GMD-1817-132.pdf#page=5","Abrir facsímil")</f>
        <v>Abrir facsímil</v>
      </c>
      <c r="K1340" s="3" t="s">
        <v>23</v>
      </c>
    </row>
    <row r="1341" spans="1:11" ht="42" customHeight="1">
      <c r="A1341" s="2" t="s">
        <v>3401</v>
      </c>
      <c r="B1341" s="2" t="s">
        <v>3401</v>
      </c>
      <c r="C1341" s="2" t="s">
        <v>36</v>
      </c>
      <c r="D1341" s="2" t="s">
        <v>37</v>
      </c>
      <c r="E1341" s="5">
        <v>-29985</v>
      </c>
      <c r="F1341" s="3" t="s">
        <v>76</v>
      </c>
      <c r="G1341" s="3" t="s">
        <v>144</v>
      </c>
      <c r="H1341" s="2" t="s">
        <v>21</v>
      </c>
      <c r="I1341" s="2" t="s">
        <v>3404</v>
      </c>
      <c r="J1341" s="3" t="str">
        <f>HYPERLINK("https://www.boe.es/gazeta/dias/1817/11/25/pdfs/GMD-1817-141.pdf#page=4","Abrir facsímil")</f>
        <v>Abrir facsímil</v>
      </c>
      <c r="K1341" s="3" t="s">
        <v>23</v>
      </c>
    </row>
    <row r="1342" spans="1:11" ht="42" customHeight="1">
      <c r="A1342" s="2" t="s">
        <v>3405</v>
      </c>
      <c r="B1342" s="2" t="s">
        <v>3405</v>
      </c>
      <c r="C1342" s="2" t="s">
        <v>36</v>
      </c>
      <c r="D1342" s="2" t="s">
        <v>37</v>
      </c>
      <c r="E1342" s="5">
        <v>-30065</v>
      </c>
      <c r="F1342" s="3" t="s">
        <v>201</v>
      </c>
      <c r="G1342" s="3" t="s">
        <v>20</v>
      </c>
      <c r="H1342" s="2" t="s">
        <v>21</v>
      </c>
      <c r="I1342" s="2" t="s">
        <v>3406</v>
      </c>
      <c r="J1342" s="3" t="str">
        <f>HYPERLINK("https://www.boe.es/gazeta/dias/1817/09/06/pdfs/GMD-1817-107.pdf#page=7","Abrir facsímil")</f>
        <v>Abrir facsímil</v>
      </c>
      <c r="K1342" s="3" t="s">
        <v>23</v>
      </c>
    </row>
    <row r="1343" spans="1:11" ht="42" customHeight="1">
      <c r="A1343" s="2" t="s">
        <v>3405</v>
      </c>
      <c r="B1343" s="2" t="s">
        <v>3405</v>
      </c>
      <c r="C1343" s="2" t="s">
        <v>17</v>
      </c>
      <c r="D1343" s="2" t="s">
        <v>18</v>
      </c>
      <c r="E1343" s="5">
        <v>-29964</v>
      </c>
      <c r="F1343" s="3" t="s">
        <v>482</v>
      </c>
      <c r="G1343" s="3" t="s">
        <v>77</v>
      </c>
      <c r="H1343" s="2" t="s">
        <v>21</v>
      </c>
      <c r="I1343" s="2" t="s">
        <v>3407</v>
      </c>
      <c r="J1343" s="3" t="str">
        <f>HYPERLINK("https://www.boe.es/gazeta/dias/1817/12/16/pdfs/GMD-1817-150.pdf#page=8","Abrir facsímil")</f>
        <v>Abrir facsímil</v>
      </c>
      <c r="K1343" s="3" t="s">
        <v>23</v>
      </c>
    </row>
    <row r="1344" spans="1:11" ht="42" customHeight="1">
      <c r="A1344" s="2" t="s">
        <v>3408</v>
      </c>
      <c r="B1344" s="2" t="s">
        <v>3409</v>
      </c>
      <c r="C1344" s="2" t="s">
        <v>97</v>
      </c>
      <c r="D1344" s="2" t="s">
        <v>44</v>
      </c>
      <c r="E1344" s="5">
        <v>-30198</v>
      </c>
      <c r="F1344" s="3" t="s">
        <v>2185</v>
      </c>
      <c r="G1344" s="3" t="s">
        <v>2186</v>
      </c>
      <c r="H1344" s="2" t="s">
        <v>21</v>
      </c>
      <c r="I1344" s="2" t="s">
        <v>3410</v>
      </c>
      <c r="J1344" s="3" t="str">
        <f>HYPERLINK("https://www.boe.es/gazeta/dias/1817/04/26/pdfs/GMD-1817-50.pdf#page=8","Abrir facsímil")</f>
        <v>Abrir facsímil</v>
      </c>
      <c r="K1344" s="3" t="s">
        <v>23</v>
      </c>
    </row>
    <row r="1345" spans="1:11" ht="42" customHeight="1">
      <c r="A1345" s="2" t="s">
        <v>3411</v>
      </c>
      <c r="B1345" s="2" t="s">
        <v>3412</v>
      </c>
      <c r="C1345" s="2" t="s">
        <v>17</v>
      </c>
      <c r="D1345" s="2" t="s">
        <v>18</v>
      </c>
      <c r="E1345" s="5">
        <v>-30011</v>
      </c>
      <c r="F1345" s="3" t="s">
        <v>313</v>
      </c>
      <c r="G1345" s="3" t="s">
        <v>82</v>
      </c>
      <c r="H1345" s="2" t="s">
        <v>21</v>
      </c>
      <c r="I1345" s="2" t="s">
        <v>3413</v>
      </c>
      <c r="J1345" s="3" t="str">
        <f>HYPERLINK("https://www.boe.es/gazeta/dias/1817/10/30/pdfs/GMD-1817-130.pdf#page=12","Abrir facsímil")</f>
        <v>Abrir facsímil</v>
      </c>
      <c r="K1345" s="3" t="s">
        <v>23</v>
      </c>
    </row>
    <row r="1346" spans="1:11" ht="42" customHeight="1">
      <c r="A1346" s="2" t="s">
        <v>3414</v>
      </c>
      <c r="B1346" s="2" t="s">
        <v>3415</v>
      </c>
      <c r="C1346" s="2" t="s">
        <v>55</v>
      </c>
      <c r="D1346" s="2" t="s">
        <v>44</v>
      </c>
      <c r="E1346" s="5">
        <v>-29992</v>
      </c>
      <c r="F1346" s="3" t="s">
        <v>50</v>
      </c>
      <c r="G1346" s="3" t="s">
        <v>51</v>
      </c>
      <c r="H1346" s="2" t="s">
        <v>21</v>
      </c>
      <c r="I1346" s="2" t="s">
        <v>3416</v>
      </c>
      <c r="J1346" s="3" t="str">
        <f>HYPERLINK("https://www.boe.es/gazeta/dias/1817/11/18/pdfs/GMD-1817-138.pdf#page=8","Abrir facsímil")</f>
        <v>Abrir facsímil</v>
      </c>
      <c r="K1346" s="3" t="s">
        <v>23</v>
      </c>
    </row>
    <row r="1347" spans="1:11" ht="42" customHeight="1">
      <c r="A1347" s="2" t="s">
        <v>3417</v>
      </c>
      <c r="B1347" s="2" t="s">
        <v>3418</v>
      </c>
      <c r="C1347" s="2" t="s">
        <v>17</v>
      </c>
      <c r="D1347" s="2" t="s">
        <v>18</v>
      </c>
      <c r="E1347" s="5">
        <v>-30016</v>
      </c>
      <c r="F1347" s="3" t="s">
        <v>2582</v>
      </c>
      <c r="G1347" s="3" t="s">
        <v>77</v>
      </c>
      <c r="H1347" s="2" t="s">
        <v>21</v>
      </c>
      <c r="I1347" s="2" t="s">
        <v>3419</v>
      </c>
      <c r="J1347" s="3" t="str">
        <f>HYPERLINK("https://www.boe.es/gazeta/dias/1817/10/25/pdfs/GMD-1817-128.pdf#page=8","Abrir facsímil")</f>
        <v>Abrir facsímil</v>
      </c>
      <c r="K1347" s="3" t="s">
        <v>23</v>
      </c>
    </row>
    <row r="1348" spans="1:11" ht="42" customHeight="1">
      <c r="A1348" s="2" t="s">
        <v>3420</v>
      </c>
      <c r="B1348" s="2" t="s">
        <v>3421</v>
      </c>
      <c r="C1348" s="2" t="s">
        <v>17</v>
      </c>
      <c r="D1348" s="2" t="s">
        <v>18</v>
      </c>
      <c r="E1348" s="5">
        <v>-30219</v>
      </c>
      <c r="F1348" s="3" t="s">
        <v>1346</v>
      </c>
      <c r="G1348" s="3" t="s">
        <v>1347</v>
      </c>
      <c r="H1348" s="2" t="s">
        <v>21</v>
      </c>
      <c r="I1348" s="2" t="s">
        <v>3422</v>
      </c>
      <c r="J1348" s="3" t="str">
        <f>HYPERLINK("https://www.boe.es/gazeta/dias/1817/04/05/pdfs/GMD-1817-41.pdf#page=8","Abrir facsímil")</f>
        <v>Abrir facsímil</v>
      </c>
      <c r="K1348" s="3" t="s">
        <v>23</v>
      </c>
    </row>
    <row r="1349" spans="1:11" ht="42" customHeight="1">
      <c r="A1349" s="2" t="s">
        <v>3423</v>
      </c>
      <c r="B1349" s="2" t="s">
        <v>3424</v>
      </c>
      <c r="C1349" s="2" t="s">
        <v>36</v>
      </c>
      <c r="D1349" s="2" t="s">
        <v>37</v>
      </c>
      <c r="E1349" s="5">
        <v>-30065</v>
      </c>
      <c r="F1349" s="3" t="s">
        <v>201</v>
      </c>
      <c r="G1349" s="3" t="s">
        <v>20</v>
      </c>
      <c r="H1349" s="2" t="s">
        <v>27</v>
      </c>
      <c r="I1349" s="2" t="s">
        <v>3425</v>
      </c>
      <c r="J1349" s="3" t="str">
        <f>HYPERLINK("https://www.boe.es/gazeta/dias/1817/09/06/pdfs/GMD-1817-107.pdf#page=7","Abrir facsímil")</f>
        <v>Abrir facsímil</v>
      </c>
      <c r="K1349" s="3" t="s">
        <v>29</v>
      </c>
    </row>
    <row r="1350" spans="1:11" ht="42" customHeight="1">
      <c r="A1350" s="2" t="s">
        <v>3426</v>
      </c>
      <c r="B1350" s="2" t="s">
        <v>3427</v>
      </c>
      <c r="C1350" s="2" t="s">
        <v>36</v>
      </c>
      <c r="D1350" s="2" t="s">
        <v>37</v>
      </c>
      <c r="E1350" s="5">
        <v>-29974</v>
      </c>
      <c r="F1350" s="3" t="s">
        <v>32</v>
      </c>
      <c r="G1350" s="3" t="s">
        <v>57</v>
      </c>
      <c r="H1350" s="2" t="s">
        <v>21</v>
      </c>
      <c r="I1350" s="2" t="s">
        <v>3428</v>
      </c>
      <c r="J1350" s="3" t="str">
        <f>HYPERLINK("https://www.boe.es/gazeta/dias/1817/12/06/pdfs/GMD-1817-146.pdf#page=6","Abrir facsímil")</f>
        <v>Abrir facsímil</v>
      </c>
      <c r="K1350" s="3" t="s">
        <v>23</v>
      </c>
    </row>
    <row r="1351" spans="1:11" ht="42" customHeight="1">
      <c r="A1351" s="2" t="s">
        <v>3429</v>
      </c>
      <c r="B1351" s="2" t="s">
        <v>3430</v>
      </c>
      <c r="C1351" s="2" t="s">
        <v>36</v>
      </c>
      <c r="D1351" s="2" t="s">
        <v>37</v>
      </c>
      <c r="E1351" s="5">
        <v>-30097</v>
      </c>
      <c r="F1351" s="3" t="s">
        <v>156</v>
      </c>
      <c r="G1351" s="3" t="s">
        <v>1596</v>
      </c>
      <c r="H1351" s="2" t="s">
        <v>21</v>
      </c>
      <c r="I1351" s="2" t="s">
        <v>3431</v>
      </c>
      <c r="J1351" s="3" t="str">
        <f>HYPERLINK("https://www.boe.es/gazeta/dias/1817/08/05/pdfs/GMD-1817-93.pdf#page=6","Abrir facsímil")</f>
        <v>Abrir facsímil</v>
      </c>
      <c r="K1351" s="3" t="s">
        <v>23</v>
      </c>
    </row>
    <row r="1352" spans="1:11" ht="42" customHeight="1">
      <c r="A1352" s="2" t="s">
        <v>3429</v>
      </c>
      <c r="B1352" s="2" t="s">
        <v>3430</v>
      </c>
      <c r="C1352" s="2" t="s">
        <v>17</v>
      </c>
      <c r="D1352" s="2" t="s">
        <v>18</v>
      </c>
      <c r="E1352" s="5">
        <v>-30039</v>
      </c>
      <c r="F1352" s="3" t="s">
        <v>558</v>
      </c>
      <c r="G1352" s="3" t="s">
        <v>1592</v>
      </c>
      <c r="H1352" s="2" t="s">
        <v>21</v>
      </c>
      <c r="I1352" s="2" t="s">
        <v>3432</v>
      </c>
      <c r="J1352" s="3" t="str">
        <f>HYPERLINK("https://www.boe.es/gazeta/dias/1817/10/02/pdfs/GMD-1817-118.pdf#page=6","Abrir facsímil")</f>
        <v>Abrir facsímil</v>
      </c>
      <c r="K1352" s="3" t="s">
        <v>23</v>
      </c>
    </row>
    <row r="1353" spans="1:11" ht="42" customHeight="1">
      <c r="A1353" s="2" t="s">
        <v>3429</v>
      </c>
      <c r="B1353" s="2" t="s">
        <v>3430</v>
      </c>
      <c r="C1353" s="2" t="s">
        <v>43</v>
      </c>
      <c r="D1353" s="2" t="s">
        <v>44</v>
      </c>
      <c r="E1353" s="5">
        <v>-30013</v>
      </c>
      <c r="F1353" s="3" t="s">
        <v>464</v>
      </c>
      <c r="G1353" s="3" t="s">
        <v>39</v>
      </c>
      <c r="H1353" s="2" t="s">
        <v>21</v>
      </c>
      <c r="I1353" s="2" t="s">
        <v>3433</v>
      </c>
      <c r="J1353" s="3" t="str">
        <f>HYPERLINK("https://www.boe.es/gazeta/dias/1817/10/28/pdfs/GMD-1817-129.pdf#page=5","Abrir facsímil")</f>
        <v>Abrir facsímil</v>
      </c>
      <c r="K1353" s="3" t="s">
        <v>23</v>
      </c>
    </row>
    <row r="1354" spans="1:11" ht="42" customHeight="1">
      <c r="A1354" s="2" t="s">
        <v>3434</v>
      </c>
      <c r="B1354" s="2" t="s">
        <v>3435</v>
      </c>
      <c r="C1354" s="2" t="s">
        <v>55</v>
      </c>
      <c r="D1354" s="2" t="s">
        <v>44</v>
      </c>
      <c r="E1354" s="5">
        <v>-30300</v>
      </c>
      <c r="F1354" s="3" t="s">
        <v>164</v>
      </c>
      <c r="G1354" s="3" t="s">
        <v>409</v>
      </c>
      <c r="H1354" s="2" t="s">
        <v>27</v>
      </c>
      <c r="I1354" s="2" t="s">
        <v>3436</v>
      </c>
      <c r="J1354" s="3" t="str">
        <f>HYPERLINK("https://www.boe.es/gazeta/dias/1817/01/14/pdfs/GMD-1817-6.pdf#page=8","Abrir facsímil")</f>
        <v>Abrir facsímil</v>
      </c>
      <c r="K1354" s="3" t="s">
        <v>29</v>
      </c>
    </row>
    <row r="1355" spans="1:11" ht="42" customHeight="1">
      <c r="A1355" s="2" t="s">
        <v>3434</v>
      </c>
      <c r="B1355" s="2" t="s">
        <v>3435</v>
      </c>
      <c r="C1355" s="2" t="s">
        <v>17</v>
      </c>
      <c r="D1355" s="2" t="s">
        <v>18</v>
      </c>
      <c r="E1355" s="5">
        <v>-30072</v>
      </c>
      <c r="F1355" s="3" t="s">
        <v>442</v>
      </c>
      <c r="G1355" s="3" t="s">
        <v>20</v>
      </c>
      <c r="H1355" s="2" t="s">
        <v>27</v>
      </c>
      <c r="I1355" s="2" t="s">
        <v>3437</v>
      </c>
      <c r="J1355" s="3" t="str">
        <f>HYPERLINK("https://www.boe.es/gazeta/dias/1817/08/30/pdfs/GMD-1817-104.pdf#page=7","Abrir facsímil")</f>
        <v>Abrir facsímil</v>
      </c>
      <c r="K1355" s="3" t="s">
        <v>29</v>
      </c>
    </row>
    <row r="1356" spans="1:11" ht="42" customHeight="1">
      <c r="A1356" s="2" t="s">
        <v>3438</v>
      </c>
      <c r="B1356" s="2" t="s">
        <v>3439</v>
      </c>
      <c r="C1356" s="2" t="s">
        <v>36</v>
      </c>
      <c r="D1356" s="2" t="s">
        <v>37</v>
      </c>
      <c r="E1356" s="5">
        <v>-30237</v>
      </c>
      <c r="F1356" s="3" t="s">
        <v>56</v>
      </c>
      <c r="G1356" s="3" t="s">
        <v>77</v>
      </c>
      <c r="H1356" s="2" t="s">
        <v>21</v>
      </c>
      <c r="I1356" s="2" t="s">
        <v>3440</v>
      </c>
      <c r="J1356" s="3" t="str">
        <f>HYPERLINK("https://www.boe.es/gazeta/dias/1817/03/18/pdfs/GMD-1817-33.pdf#page=8","Abrir facsímil")</f>
        <v>Abrir facsímil</v>
      </c>
      <c r="K1356" s="3" t="s">
        <v>23</v>
      </c>
    </row>
    <row r="1357" spans="1:11" ht="42" customHeight="1">
      <c r="A1357" s="2" t="s">
        <v>3441</v>
      </c>
      <c r="B1357" s="2" t="s">
        <v>3442</v>
      </c>
      <c r="C1357" s="2" t="s">
        <v>36</v>
      </c>
      <c r="D1357" s="2" t="s">
        <v>37</v>
      </c>
      <c r="E1357" s="5">
        <v>-30284</v>
      </c>
      <c r="F1357" s="3" t="s">
        <v>741</v>
      </c>
      <c r="G1357" s="3" t="s">
        <v>20</v>
      </c>
      <c r="H1357" s="2" t="s">
        <v>21</v>
      </c>
      <c r="I1357" s="2" t="s">
        <v>3443</v>
      </c>
      <c r="J1357" s="3" t="str">
        <f>HYPERLINK("https://www.boe.es/gazeta/dias/1817/01/30/pdfs/GMD-1817-13.pdf#page=7","Abrir facsímil")</f>
        <v>Abrir facsímil</v>
      </c>
      <c r="K1357" s="3" t="s">
        <v>23</v>
      </c>
    </row>
    <row r="1358" spans="1:11" ht="42" customHeight="1">
      <c r="A1358" s="2" t="s">
        <v>3444</v>
      </c>
      <c r="B1358" s="2" t="s">
        <v>3445</v>
      </c>
      <c r="C1358" s="2" t="s">
        <v>17</v>
      </c>
      <c r="D1358" s="2" t="s">
        <v>18</v>
      </c>
      <c r="E1358" s="5">
        <v>-30179</v>
      </c>
      <c r="F1358" s="3" t="s">
        <v>391</v>
      </c>
      <c r="G1358" s="3" t="s">
        <v>20</v>
      </c>
      <c r="H1358" s="2" t="s">
        <v>21</v>
      </c>
      <c r="I1358" s="2" t="s">
        <v>3446</v>
      </c>
      <c r="J1358" s="3" t="str">
        <f>HYPERLINK("https://www.boe.es/gazeta/dias/1817/05/15/pdfs/GMD-1817-58.pdf#page=7","Abrir facsímil")</f>
        <v>Abrir facsímil</v>
      </c>
      <c r="K1358" s="3" t="s">
        <v>23</v>
      </c>
    </row>
    <row r="1359" spans="1:11" ht="42" customHeight="1">
      <c r="A1359" s="2" t="s">
        <v>3447</v>
      </c>
      <c r="B1359" s="2" t="s">
        <v>3448</v>
      </c>
      <c r="C1359" s="2" t="s">
        <v>17</v>
      </c>
      <c r="D1359" s="2" t="s">
        <v>18</v>
      </c>
      <c r="E1359" s="5">
        <v>-30235</v>
      </c>
      <c r="F1359" s="3" t="s">
        <v>398</v>
      </c>
      <c r="G1359" s="3" t="s">
        <v>20</v>
      </c>
      <c r="H1359" s="2" t="s">
        <v>21</v>
      </c>
      <c r="I1359" s="2" t="s">
        <v>3449</v>
      </c>
      <c r="J1359" s="3" t="str">
        <f>HYPERLINK("https://www.boe.es/gazeta/dias/1817/03/20/pdfs/GMD-1817-34.pdf#page=7","Abrir facsímil")</f>
        <v>Abrir facsímil</v>
      </c>
      <c r="K1359" s="3" t="s">
        <v>23</v>
      </c>
    </row>
    <row r="1360" spans="1:11" ht="42" customHeight="1">
      <c r="A1360" s="2" t="s">
        <v>3450</v>
      </c>
      <c r="B1360" s="2" t="s">
        <v>3451</v>
      </c>
      <c r="C1360" s="2" t="s">
        <v>49</v>
      </c>
      <c r="D1360" s="2" t="s">
        <v>44</v>
      </c>
      <c r="E1360" s="5">
        <v>-29990</v>
      </c>
      <c r="F1360" s="3" t="s">
        <v>542</v>
      </c>
      <c r="G1360" s="3" t="s">
        <v>77</v>
      </c>
      <c r="H1360" s="2" t="s">
        <v>21</v>
      </c>
      <c r="I1360" s="2" t="s">
        <v>3452</v>
      </c>
      <c r="J1360" s="3" t="str">
        <f>HYPERLINK("https://www.boe.es/gazeta/dias/1817/11/20/pdfs/GMD-1817-139.pdf#page=8","Abrir facsímil")</f>
        <v>Abrir facsímil</v>
      </c>
      <c r="K1360" s="3" t="s">
        <v>23</v>
      </c>
    </row>
    <row r="1361" spans="1:11" ht="42" customHeight="1">
      <c r="A1361" s="2" t="s">
        <v>3453</v>
      </c>
      <c r="B1361" s="2" t="s">
        <v>3454</v>
      </c>
      <c r="C1361" s="2" t="s">
        <v>36</v>
      </c>
      <c r="D1361" s="2" t="s">
        <v>37</v>
      </c>
      <c r="E1361" s="5">
        <v>-29995</v>
      </c>
      <c r="F1361" s="3" t="s">
        <v>514</v>
      </c>
      <c r="G1361" s="3" t="s">
        <v>551</v>
      </c>
      <c r="H1361" s="2" t="s">
        <v>21</v>
      </c>
      <c r="I1361" s="2" t="s">
        <v>3455</v>
      </c>
      <c r="J1361" s="3" t="str">
        <f>HYPERLINK("https://www.boe.es/gazeta/dias/1817/11/15/pdfs/GMD-1817-137.pdf#page=3","Abrir facsímil")</f>
        <v>Abrir facsímil</v>
      </c>
      <c r="K1361" s="3" t="s">
        <v>23</v>
      </c>
    </row>
    <row r="1362" spans="1:11" ht="42" customHeight="1">
      <c r="A1362" s="2" t="s">
        <v>3456</v>
      </c>
      <c r="B1362" s="2" t="s">
        <v>3457</v>
      </c>
      <c r="C1362" s="2" t="s">
        <v>510</v>
      </c>
      <c r="D1362" s="2" t="s">
        <v>44</v>
      </c>
      <c r="E1362" s="5">
        <v>-30125</v>
      </c>
      <c r="F1362" s="3" t="s">
        <v>102</v>
      </c>
      <c r="G1362" s="3" t="s">
        <v>103</v>
      </c>
      <c r="H1362" s="2" t="s">
        <v>21</v>
      </c>
      <c r="I1362" s="2" t="s">
        <v>3458</v>
      </c>
      <c r="J1362" s="3" t="str">
        <f>HYPERLINK("https://www.boe.es/gazeta/dias/1817/07/08/pdfs/GMD-1817-81.pdf#page=12","Abrir facsímil")</f>
        <v>Abrir facsímil</v>
      </c>
      <c r="K1362" s="3" t="s">
        <v>23</v>
      </c>
    </row>
    <row r="1363" spans="1:11" ht="42" customHeight="1">
      <c r="A1363" s="2" t="s">
        <v>3456</v>
      </c>
      <c r="B1363" s="2" t="s">
        <v>3457</v>
      </c>
      <c r="C1363" s="2" t="s">
        <v>36</v>
      </c>
      <c r="D1363" s="2" t="s">
        <v>37</v>
      </c>
      <c r="E1363" s="5">
        <v>-30023</v>
      </c>
      <c r="F1363" s="3" t="s">
        <v>460</v>
      </c>
      <c r="G1363" s="3" t="s">
        <v>461</v>
      </c>
      <c r="H1363" s="2" t="s">
        <v>21</v>
      </c>
      <c r="I1363" s="2" t="s">
        <v>3459</v>
      </c>
      <c r="J1363" s="3" t="str">
        <f>HYPERLINK("https://www.boe.es/gazeta/dias/1817/10/18/pdfs/GMD-1817-125.pdf#page=8","Abrir facsímil")</f>
        <v>Abrir facsímil</v>
      </c>
      <c r="K1363" s="3" t="s">
        <v>23</v>
      </c>
    </row>
    <row r="1364" spans="1:11" ht="42" customHeight="1">
      <c r="A1364" s="2" t="s">
        <v>3460</v>
      </c>
      <c r="B1364" s="2" t="s">
        <v>3460</v>
      </c>
      <c r="C1364" s="2" t="s">
        <v>510</v>
      </c>
      <c r="D1364" s="2" t="s">
        <v>44</v>
      </c>
      <c r="E1364" s="5">
        <v>-30305</v>
      </c>
      <c r="F1364" s="3" t="s">
        <v>405</v>
      </c>
      <c r="G1364" s="3" t="s">
        <v>77</v>
      </c>
      <c r="H1364" s="2" t="s">
        <v>21</v>
      </c>
      <c r="I1364" s="2" t="s">
        <v>3461</v>
      </c>
      <c r="J1364" s="3" t="str">
        <f>HYPERLINK("https://www.boe.es/gazeta/dias/1817/01/09/pdfs/GMD-1817-4.pdf#page=8","Abrir facsímil")</f>
        <v>Abrir facsímil</v>
      </c>
      <c r="K1364" s="3" t="s">
        <v>23</v>
      </c>
    </row>
    <row r="1365" spans="1:11" ht="42" customHeight="1">
      <c r="A1365" s="2" t="s">
        <v>3460</v>
      </c>
      <c r="B1365" s="2" t="s">
        <v>3460</v>
      </c>
      <c r="C1365" s="2" t="s">
        <v>97</v>
      </c>
      <c r="D1365" s="2" t="s">
        <v>44</v>
      </c>
      <c r="E1365" s="5">
        <v>-30303</v>
      </c>
      <c r="F1365" s="3" t="s">
        <v>407</v>
      </c>
      <c r="G1365" s="3" t="s">
        <v>77</v>
      </c>
      <c r="H1365" s="2" t="s">
        <v>21</v>
      </c>
      <c r="I1365" s="2" t="s">
        <v>3462</v>
      </c>
      <c r="J1365" s="3" t="str">
        <f>HYPERLINK("https://www.boe.es/gazeta/dias/1817/01/11/pdfs/GMD-1817-5.pdf#page=8","Abrir facsímil")</f>
        <v>Abrir facsímil</v>
      </c>
      <c r="K1365" s="3" t="s">
        <v>23</v>
      </c>
    </row>
    <row r="1366" spans="1:11" ht="42" customHeight="1">
      <c r="A1366" s="2" t="s">
        <v>3460</v>
      </c>
      <c r="B1366" s="2" t="s">
        <v>3460</v>
      </c>
      <c r="C1366" s="2" t="s">
        <v>43</v>
      </c>
      <c r="D1366" s="2" t="s">
        <v>44</v>
      </c>
      <c r="E1366" s="5">
        <v>-30298</v>
      </c>
      <c r="F1366" s="3" t="s">
        <v>489</v>
      </c>
      <c r="G1366" s="3" t="s">
        <v>644</v>
      </c>
      <c r="H1366" s="2" t="s">
        <v>21</v>
      </c>
      <c r="I1366" s="2" t="s">
        <v>3463</v>
      </c>
      <c r="J1366" s="3" t="str">
        <f>HYPERLINK("https://www.boe.es/gazeta/dias/1817/01/16/pdfs/GMD-1817-7.pdf#page=5","Abrir facsímil")</f>
        <v>Abrir facsímil</v>
      </c>
      <c r="K1366" s="3" t="s">
        <v>23</v>
      </c>
    </row>
    <row r="1367" spans="1:11" ht="42" customHeight="1">
      <c r="A1367" s="2" t="s">
        <v>3460</v>
      </c>
      <c r="B1367" s="2" t="s">
        <v>3460</v>
      </c>
      <c r="C1367" s="2" t="s">
        <v>36</v>
      </c>
      <c r="D1367" s="2" t="s">
        <v>37</v>
      </c>
      <c r="E1367" s="5">
        <v>-30298</v>
      </c>
      <c r="F1367" s="3" t="s">
        <v>489</v>
      </c>
      <c r="G1367" s="3" t="s">
        <v>57</v>
      </c>
      <c r="H1367" s="2" t="s">
        <v>21</v>
      </c>
      <c r="I1367" s="2" t="s">
        <v>3464</v>
      </c>
      <c r="J1367" s="3" t="str">
        <f>HYPERLINK("https://www.boe.es/gazeta/dias/1817/01/16/pdfs/GMD-1817-7.pdf#page=6","Abrir facsímil")</f>
        <v>Abrir facsímil</v>
      </c>
      <c r="K1367" s="3" t="s">
        <v>23</v>
      </c>
    </row>
    <row r="1368" spans="1:11" ht="42" customHeight="1">
      <c r="A1368" s="2" t="s">
        <v>3460</v>
      </c>
      <c r="B1368" s="2" t="s">
        <v>3460</v>
      </c>
      <c r="C1368" s="2" t="s">
        <v>97</v>
      </c>
      <c r="D1368" s="2" t="s">
        <v>44</v>
      </c>
      <c r="E1368" s="5">
        <v>-30235</v>
      </c>
      <c r="F1368" s="3" t="s">
        <v>398</v>
      </c>
      <c r="G1368" s="3" t="s">
        <v>77</v>
      </c>
      <c r="H1368" s="2" t="s">
        <v>21</v>
      </c>
      <c r="I1368" s="2" t="s">
        <v>3465</v>
      </c>
      <c r="J1368" s="3" t="str">
        <f>HYPERLINK("https://www.boe.es/gazeta/dias/1817/03/20/pdfs/GMD-1817-34.pdf#page=8","Abrir facsímil")</f>
        <v>Abrir facsímil</v>
      </c>
      <c r="K1368" s="3" t="s">
        <v>23</v>
      </c>
    </row>
    <row r="1369" spans="1:11" ht="42" customHeight="1">
      <c r="A1369" s="2" t="s">
        <v>3460</v>
      </c>
      <c r="B1369" s="2" t="s">
        <v>3460</v>
      </c>
      <c r="C1369" s="2" t="s">
        <v>17</v>
      </c>
      <c r="D1369" s="2" t="s">
        <v>18</v>
      </c>
      <c r="E1369" s="5">
        <v>-30233</v>
      </c>
      <c r="F1369" s="3" t="s">
        <v>577</v>
      </c>
      <c r="G1369" s="3" t="s">
        <v>57</v>
      </c>
      <c r="H1369" s="2" t="s">
        <v>21</v>
      </c>
      <c r="I1369" s="2" t="s">
        <v>3466</v>
      </c>
      <c r="J1369" s="3" t="str">
        <f>HYPERLINK("https://www.boe.es/gazeta/dias/1817/03/22/pdfs/GMD-1817-35.pdf#page=6","Abrir facsímil")</f>
        <v>Abrir facsímil</v>
      </c>
      <c r="K1369" s="3" t="s">
        <v>23</v>
      </c>
    </row>
    <row r="1370" spans="1:11" ht="42" customHeight="1">
      <c r="A1370" s="2" t="s">
        <v>3460</v>
      </c>
      <c r="B1370" s="2" t="s">
        <v>3460</v>
      </c>
      <c r="C1370" s="2" t="s">
        <v>43</v>
      </c>
      <c r="D1370" s="2" t="s">
        <v>44</v>
      </c>
      <c r="E1370" s="5">
        <v>-30223</v>
      </c>
      <c r="F1370" s="3" t="s">
        <v>627</v>
      </c>
      <c r="G1370" s="3" t="s">
        <v>77</v>
      </c>
      <c r="H1370" s="2" t="s">
        <v>21</v>
      </c>
      <c r="I1370" s="2" t="s">
        <v>3467</v>
      </c>
      <c r="J1370" s="3" t="str">
        <f>HYPERLINK("https://www.boe.es/gazeta/dias/1817/04/01/pdfs/GMD-1817-39.pdf#page=8","Abrir facsímil")</f>
        <v>Abrir facsímil</v>
      </c>
      <c r="K1370" s="3" t="s">
        <v>23</v>
      </c>
    </row>
    <row r="1371" spans="1:11" ht="42" customHeight="1">
      <c r="A1371" s="2" t="s">
        <v>3460</v>
      </c>
      <c r="B1371" s="2" t="s">
        <v>3460</v>
      </c>
      <c r="C1371" s="2" t="s">
        <v>17</v>
      </c>
      <c r="D1371" s="2" t="s">
        <v>18</v>
      </c>
      <c r="E1371" s="5">
        <v>-30205</v>
      </c>
      <c r="F1371" s="3" t="s">
        <v>139</v>
      </c>
      <c r="G1371" s="3" t="s">
        <v>39</v>
      </c>
      <c r="H1371" s="2" t="s">
        <v>21</v>
      </c>
      <c r="I1371" s="2" t="s">
        <v>3468</v>
      </c>
      <c r="J1371" s="3" t="str">
        <f>HYPERLINK("https://www.boe.es/gazeta/dias/1817/04/19/pdfs/GMD-1817-47.pdf#page=5","Abrir facsímil")</f>
        <v>Abrir facsímil</v>
      </c>
      <c r="K1371" s="3" t="s">
        <v>23</v>
      </c>
    </row>
    <row r="1372" spans="1:11" ht="42" customHeight="1">
      <c r="A1372" s="2" t="s">
        <v>3460</v>
      </c>
      <c r="B1372" s="2" t="s">
        <v>3460</v>
      </c>
      <c r="C1372" s="2" t="s">
        <v>17</v>
      </c>
      <c r="D1372" s="2" t="s">
        <v>18</v>
      </c>
      <c r="E1372" s="5">
        <v>-30202</v>
      </c>
      <c r="F1372" s="3" t="s">
        <v>418</v>
      </c>
      <c r="G1372" s="3" t="s">
        <v>20</v>
      </c>
      <c r="H1372" s="2" t="s">
        <v>21</v>
      </c>
      <c r="I1372" s="2" t="s">
        <v>3469</v>
      </c>
      <c r="J1372" s="3" t="str">
        <f>HYPERLINK("https://www.boe.es/gazeta/dias/1817/04/22/pdfs/GMD-1817-48.pdf#page=7","Abrir facsímil")</f>
        <v>Abrir facsímil</v>
      </c>
      <c r="K1372" s="3" t="s">
        <v>23</v>
      </c>
    </row>
    <row r="1373" spans="1:11" ht="42" customHeight="1">
      <c r="A1373" s="2" t="s">
        <v>3460</v>
      </c>
      <c r="B1373" s="2" t="s">
        <v>3460</v>
      </c>
      <c r="C1373" s="2" t="s">
        <v>43</v>
      </c>
      <c r="D1373" s="2" t="s">
        <v>44</v>
      </c>
      <c r="E1373" s="5">
        <v>-30198</v>
      </c>
      <c r="F1373" s="3" t="s">
        <v>2185</v>
      </c>
      <c r="G1373" s="3" t="s">
        <v>144</v>
      </c>
      <c r="H1373" s="2" t="s">
        <v>21</v>
      </c>
      <c r="I1373" s="2" t="s">
        <v>3470</v>
      </c>
      <c r="J1373" s="3" t="str">
        <f>HYPERLINK("https://www.boe.es/gazeta/dias/1817/04/26/pdfs/GMD-1817-50.pdf#page=4","Abrir facsímil")</f>
        <v>Abrir facsímil</v>
      </c>
      <c r="K1373" s="3" t="s">
        <v>23</v>
      </c>
    </row>
    <row r="1374" spans="1:11" ht="42" customHeight="1">
      <c r="A1374" s="2" t="s">
        <v>3460</v>
      </c>
      <c r="B1374" s="2" t="s">
        <v>3460</v>
      </c>
      <c r="C1374" s="2" t="s">
        <v>36</v>
      </c>
      <c r="D1374" s="2" t="s">
        <v>37</v>
      </c>
      <c r="E1374" s="5">
        <v>-30188</v>
      </c>
      <c r="F1374" s="3" t="s">
        <v>177</v>
      </c>
      <c r="G1374" s="3" t="s">
        <v>39</v>
      </c>
      <c r="H1374" s="2" t="s">
        <v>21</v>
      </c>
      <c r="I1374" s="2" t="s">
        <v>3471</v>
      </c>
      <c r="J1374" s="3" t="str">
        <f>HYPERLINK("https://www.boe.es/gazeta/dias/1817/05/06/pdfs/GMD-1817-54.pdf#page=5","Abrir facsímil")</f>
        <v>Abrir facsímil</v>
      </c>
      <c r="K1374" s="3" t="s">
        <v>23</v>
      </c>
    </row>
    <row r="1375" spans="1:11" ht="42" customHeight="1">
      <c r="A1375" s="2" t="s">
        <v>3460</v>
      </c>
      <c r="B1375" s="2" t="s">
        <v>3460</v>
      </c>
      <c r="C1375" s="2" t="s">
        <v>43</v>
      </c>
      <c r="D1375" s="2" t="s">
        <v>44</v>
      </c>
      <c r="E1375" s="5">
        <v>-30165</v>
      </c>
      <c r="F1375" s="3" t="s">
        <v>2040</v>
      </c>
      <c r="G1375" s="3" t="s">
        <v>144</v>
      </c>
      <c r="H1375" s="2" t="s">
        <v>21</v>
      </c>
      <c r="I1375" s="2" t="s">
        <v>3472</v>
      </c>
      <c r="J1375" s="3" t="str">
        <f>HYPERLINK("https://www.boe.es/gazeta/dias/1817/05/29/pdfs/GMD-1817-64.pdf#page=4","Abrir facsímil")</f>
        <v>Abrir facsímil</v>
      </c>
      <c r="K1375" s="3" t="s">
        <v>23</v>
      </c>
    </row>
    <row r="1376" spans="1:11" ht="42" customHeight="1">
      <c r="A1376" s="2" t="s">
        <v>3460</v>
      </c>
      <c r="B1376" s="2" t="s">
        <v>3460</v>
      </c>
      <c r="C1376" s="2" t="s">
        <v>17</v>
      </c>
      <c r="D1376" s="2" t="s">
        <v>18</v>
      </c>
      <c r="E1376" s="5">
        <v>-30158</v>
      </c>
      <c r="F1376" s="3" t="s">
        <v>305</v>
      </c>
      <c r="G1376" s="3" t="s">
        <v>39</v>
      </c>
      <c r="H1376" s="2" t="s">
        <v>21</v>
      </c>
      <c r="I1376" s="2" t="s">
        <v>3473</v>
      </c>
      <c r="J1376" s="3" t="str">
        <f>HYPERLINK("https://www.boe.es/gazeta/dias/1817/06/05/pdfs/GMD-1817-67.pdf#page=5","Abrir facsímil")</f>
        <v>Abrir facsímil</v>
      </c>
      <c r="K1376" s="3" t="s">
        <v>23</v>
      </c>
    </row>
    <row r="1377" spans="1:11" ht="42" customHeight="1">
      <c r="A1377" s="2" t="s">
        <v>3460</v>
      </c>
      <c r="B1377" s="2" t="s">
        <v>3460</v>
      </c>
      <c r="C1377" s="2" t="s">
        <v>36</v>
      </c>
      <c r="D1377" s="2" t="s">
        <v>37</v>
      </c>
      <c r="E1377" s="5">
        <v>-30137</v>
      </c>
      <c r="F1377" s="3" t="s">
        <v>935</v>
      </c>
      <c r="G1377" s="3" t="s">
        <v>551</v>
      </c>
      <c r="H1377" s="2" t="s">
        <v>21</v>
      </c>
      <c r="I1377" s="2" t="s">
        <v>3474</v>
      </c>
      <c r="J1377" s="3" t="str">
        <f>HYPERLINK("https://www.boe.es/gazeta/dias/1817/06/26/pdfs/GMD-1817-76.pdf#page=3","Abrir facsímil")</f>
        <v>Abrir facsímil</v>
      </c>
      <c r="K1377" s="3" t="s">
        <v>23</v>
      </c>
    </row>
    <row r="1378" spans="1:11" ht="42" customHeight="1">
      <c r="A1378" s="2" t="s">
        <v>3460</v>
      </c>
      <c r="B1378" s="2" t="s">
        <v>3460</v>
      </c>
      <c r="C1378" s="2" t="s">
        <v>43</v>
      </c>
      <c r="D1378" s="2" t="s">
        <v>44</v>
      </c>
      <c r="E1378" s="5">
        <v>-30130</v>
      </c>
      <c r="F1378" s="3" t="s">
        <v>768</v>
      </c>
      <c r="G1378" s="3" t="s">
        <v>144</v>
      </c>
      <c r="H1378" s="2" t="s">
        <v>21</v>
      </c>
      <c r="I1378" s="2" t="s">
        <v>3475</v>
      </c>
      <c r="J1378" s="3" t="str">
        <f>HYPERLINK("https://www.boe.es/gazeta/dias/1817/07/03/pdfs/GMD-1817-79.pdf#page=4","Abrir facsímil")</f>
        <v>Abrir facsímil</v>
      </c>
      <c r="K1378" s="3" t="s">
        <v>23</v>
      </c>
    </row>
    <row r="1379" spans="1:11" ht="42" customHeight="1">
      <c r="A1379" s="2" t="s">
        <v>3460</v>
      </c>
      <c r="B1379" s="2" t="s">
        <v>3460</v>
      </c>
      <c r="C1379" s="2" t="s">
        <v>55</v>
      </c>
      <c r="D1379" s="2" t="s">
        <v>44</v>
      </c>
      <c r="E1379" s="5">
        <v>-30123</v>
      </c>
      <c r="F1379" s="3" t="s">
        <v>848</v>
      </c>
      <c r="G1379" s="3" t="s">
        <v>849</v>
      </c>
      <c r="H1379" s="2" t="s">
        <v>21</v>
      </c>
      <c r="I1379" s="2" t="s">
        <v>3476</v>
      </c>
      <c r="J1379" s="3" t="str">
        <f>HYPERLINK("https://www.boe.es/gazeta/dias/1817/07/10/pdfs/GMD-1817-82.pdf#page=4","Abrir facsímil")</f>
        <v>Abrir facsímil</v>
      </c>
      <c r="K1379" s="3" t="s">
        <v>23</v>
      </c>
    </row>
    <row r="1380" spans="1:11" ht="42" customHeight="1">
      <c r="A1380" s="2" t="s">
        <v>3460</v>
      </c>
      <c r="B1380" s="2" t="s">
        <v>3460</v>
      </c>
      <c r="C1380" s="2" t="s">
        <v>17</v>
      </c>
      <c r="D1380" s="2" t="s">
        <v>18</v>
      </c>
      <c r="E1380" s="5">
        <v>-30123</v>
      </c>
      <c r="F1380" s="3" t="s">
        <v>848</v>
      </c>
      <c r="G1380" s="3" t="s">
        <v>57</v>
      </c>
      <c r="H1380" s="2" t="s">
        <v>21</v>
      </c>
      <c r="I1380" s="2" t="s">
        <v>3477</v>
      </c>
      <c r="J1380" s="3" t="str">
        <f>HYPERLINK("https://www.boe.es/gazeta/dias/1817/07/10/pdfs/GMD-1817-82.pdf#page=6","Abrir facsímil")</f>
        <v>Abrir facsímil</v>
      </c>
      <c r="K1380" s="3" t="s">
        <v>23</v>
      </c>
    </row>
    <row r="1381" spans="1:11" ht="42" customHeight="1">
      <c r="A1381" s="2" t="s">
        <v>3460</v>
      </c>
      <c r="B1381" s="2" t="s">
        <v>3460</v>
      </c>
      <c r="C1381" s="2" t="s">
        <v>43</v>
      </c>
      <c r="D1381" s="2" t="s">
        <v>44</v>
      </c>
      <c r="E1381" s="5">
        <v>-30121</v>
      </c>
      <c r="F1381" s="3" t="s">
        <v>851</v>
      </c>
      <c r="G1381" s="3" t="s">
        <v>144</v>
      </c>
      <c r="H1381" s="2" t="s">
        <v>21</v>
      </c>
      <c r="I1381" s="2" t="s">
        <v>3478</v>
      </c>
      <c r="J1381" s="3" t="str">
        <f>HYPERLINK("https://www.boe.es/gazeta/dias/1817/07/12/pdfs/GMD-1817-83.pdf#page=4","Abrir facsímil")</f>
        <v>Abrir facsímil</v>
      </c>
      <c r="K1381" s="3" t="s">
        <v>23</v>
      </c>
    </row>
    <row r="1382" spans="1:11" ht="42" customHeight="1">
      <c r="A1382" s="2" t="s">
        <v>3460</v>
      </c>
      <c r="B1382" s="2" t="s">
        <v>3460</v>
      </c>
      <c r="C1382" s="2" t="s">
        <v>55</v>
      </c>
      <c r="D1382" s="2" t="s">
        <v>44</v>
      </c>
      <c r="E1382" s="5">
        <v>-30121</v>
      </c>
      <c r="F1382" s="3" t="s">
        <v>851</v>
      </c>
      <c r="G1382" s="3" t="s">
        <v>39</v>
      </c>
      <c r="H1382" s="2" t="s">
        <v>21</v>
      </c>
      <c r="I1382" s="2" t="s">
        <v>3479</v>
      </c>
      <c r="J1382" s="3" t="str">
        <f>HYPERLINK("https://www.boe.es/gazeta/dias/1817/07/12/pdfs/GMD-1817-83.pdf#page=5","Abrir facsímil")</f>
        <v>Abrir facsímil</v>
      </c>
      <c r="K1382" s="3" t="s">
        <v>23</v>
      </c>
    </row>
    <row r="1383" spans="1:11" ht="42" customHeight="1">
      <c r="A1383" s="2" t="s">
        <v>3460</v>
      </c>
      <c r="B1383" s="2" t="s">
        <v>3460</v>
      </c>
      <c r="C1383" s="2" t="s">
        <v>17</v>
      </c>
      <c r="D1383" s="2" t="s">
        <v>18</v>
      </c>
      <c r="E1383" s="5">
        <v>-30111</v>
      </c>
      <c r="F1383" s="3" t="s">
        <v>1017</v>
      </c>
      <c r="G1383" s="3" t="s">
        <v>20</v>
      </c>
      <c r="H1383" s="2" t="s">
        <v>21</v>
      </c>
      <c r="I1383" s="2" t="s">
        <v>3480</v>
      </c>
      <c r="J1383" s="3" t="str">
        <f>HYPERLINK("https://www.boe.es/gazeta/dias/1817/07/22/pdfs/GMD-1817-87.pdf#page=7","Abrir facsímil")</f>
        <v>Abrir facsímil</v>
      </c>
      <c r="K1383" s="3" t="s">
        <v>23</v>
      </c>
    </row>
    <row r="1384" spans="1:11" ht="42" customHeight="1">
      <c r="A1384" s="2" t="s">
        <v>3460</v>
      </c>
      <c r="B1384" s="2" t="s">
        <v>3460</v>
      </c>
      <c r="C1384" s="2" t="s">
        <v>17</v>
      </c>
      <c r="D1384" s="2" t="s">
        <v>18</v>
      </c>
      <c r="E1384" s="5">
        <v>-30095</v>
      </c>
      <c r="F1384" s="3" t="s">
        <v>365</v>
      </c>
      <c r="G1384" s="3" t="s">
        <v>20</v>
      </c>
      <c r="H1384" s="2" t="s">
        <v>21</v>
      </c>
      <c r="I1384" s="2" t="s">
        <v>3481</v>
      </c>
      <c r="J1384" s="3" t="str">
        <f>HYPERLINK("https://www.boe.es/gazeta/dias/1817/08/07/pdfs/GMD-1817-94.pdf#page=7","Abrir facsímil")</f>
        <v>Abrir facsímil</v>
      </c>
      <c r="K1384" s="3" t="s">
        <v>23</v>
      </c>
    </row>
    <row r="1385" spans="1:11" ht="42" customHeight="1">
      <c r="A1385" s="2" t="s">
        <v>3460</v>
      </c>
      <c r="B1385" s="2" t="s">
        <v>3460</v>
      </c>
      <c r="C1385" s="2" t="s">
        <v>97</v>
      </c>
      <c r="D1385" s="2" t="s">
        <v>44</v>
      </c>
      <c r="E1385" s="5">
        <v>-30074</v>
      </c>
      <c r="F1385" s="3" t="s">
        <v>368</v>
      </c>
      <c r="G1385" s="3" t="s">
        <v>369</v>
      </c>
      <c r="H1385" s="2" t="s">
        <v>21</v>
      </c>
      <c r="I1385" s="2" t="s">
        <v>3482</v>
      </c>
      <c r="J1385" s="3" t="str">
        <f>HYPERLINK("https://www.boe.es/gazeta/dias/1817/08/28/pdfs/GMD-1817-103.pdf#page=12","Abrir facsímil")</f>
        <v>Abrir facsímil</v>
      </c>
      <c r="K1385" s="3" t="s">
        <v>23</v>
      </c>
    </row>
    <row r="1386" spans="1:11" ht="42" customHeight="1">
      <c r="A1386" s="2" t="s">
        <v>3460</v>
      </c>
      <c r="B1386" s="2" t="s">
        <v>3460</v>
      </c>
      <c r="C1386" s="2" t="s">
        <v>17</v>
      </c>
      <c r="D1386" s="2" t="s">
        <v>18</v>
      </c>
      <c r="E1386" s="5">
        <v>-30062</v>
      </c>
      <c r="F1386" s="3" t="s">
        <v>444</v>
      </c>
      <c r="G1386" s="3" t="s">
        <v>82</v>
      </c>
      <c r="H1386" s="2" t="s">
        <v>21</v>
      </c>
      <c r="I1386" s="2" t="s">
        <v>3483</v>
      </c>
      <c r="J1386" s="3" t="str">
        <f>HYPERLINK("https://www.boe.es/gazeta/dias/1817/09/09/pdfs/GMD-1817-108.pdf#page=12","Abrir facsímil")</f>
        <v>Abrir facsímil</v>
      </c>
      <c r="K1386" s="3" t="s">
        <v>23</v>
      </c>
    </row>
    <row r="1387" spans="1:11" ht="42" customHeight="1">
      <c r="A1387" s="2" t="s">
        <v>3460</v>
      </c>
      <c r="B1387" s="2" t="s">
        <v>3460</v>
      </c>
      <c r="C1387" s="2" t="s">
        <v>43</v>
      </c>
      <c r="D1387" s="2" t="s">
        <v>44</v>
      </c>
      <c r="E1387" s="5">
        <v>-30055</v>
      </c>
      <c r="F1387" s="3" t="s">
        <v>71</v>
      </c>
      <c r="G1387" s="3" t="s">
        <v>39</v>
      </c>
      <c r="H1387" s="2" t="s">
        <v>21</v>
      </c>
      <c r="I1387" s="2" t="s">
        <v>3484</v>
      </c>
      <c r="J1387" s="3" t="str">
        <f>HYPERLINK("https://www.boe.es/gazeta/dias/1817/09/16/pdfs/GMD-1817-111.pdf#page=5","Abrir facsímil")</f>
        <v>Abrir facsímil</v>
      </c>
      <c r="K1387" s="3" t="s">
        <v>23</v>
      </c>
    </row>
    <row r="1388" spans="1:11" ht="42" customHeight="1">
      <c r="A1388" s="2" t="s">
        <v>3460</v>
      </c>
      <c r="B1388" s="2" t="s">
        <v>3460</v>
      </c>
      <c r="C1388" s="2" t="s">
        <v>43</v>
      </c>
      <c r="D1388" s="2" t="s">
        <v>44</v>
      </c>
      <c r="E1388" s="5">
        <v>-30051</v>
      </c>
      <c r="F1388" s="3" t="s">
        <v>26</v>
      </c>
      <c r="G1388" s="3" t="s">
        <v>77</v>
      </c>
      <c r="H1388" s="2" t="s">
        <v>21</v>
      </c>
      <c r="I1388" s="2" t="s">
        <v>3485</v>
      </c>
      <c r="J1388" s="3" t="str">
        <f>HYPERLINK("https://www.boe.es/gazeta/dias/1817/09/20/pdfs/GMD-1817-113.pdf#page=8","Abrir facsímil")</f>
        <v>Abrir facsímil</v>
      </c>
      <c r="K1388" s="3" t="s">
        <v>23</v>
      </c>
    </row>
    <row r="1389" spans="1:11" ht="42" customHeight="1">
      <c r="A1389" s="2" t="s">
        <v>3460</v>
      </c>
      <c r="B1389" s="2" t="s">
        <v>3460</v>
      </c>
      <c r="C1389" s="2" t="s">
        <v>43</v>
      </c>
      <c r="D1389" s="2" t="s">
        <v>44</v>
      </c>
      <c r="E1389" s="5">
        <v>-30030</v>
      </c>
      <c r="F1389" s="3" t="s">
        <v>508</v>
      </c>
      <c r="G1389" s="3" t="s">
        <v>39</v>
      </c>
      <c r="H1389" s="2" t="s">
        <v>21</v>
      </c>
      <c r="I1389" s="2" t="s">
        <v>3486</v>
      </c>
      <c r="J1389" s="3" t="str">
        <f>HYPERLINK("https://www.boe.es/gazeta/dias/1817/10/11/pdfs/GMD-1817-122.pdf#page=5","Abrir facsímil")</f>
        <v>Abrir facsímil</v>
      </c>
      <c r="K1389" s="3" t="s">
        <v>23</v>
      </c>
    </row>
    <row r="1390" spans="1:11" ht="42" customHeight="1">
      <c r="A1390" s="2" t="s">
        <v>3460</v>
      </c>
      <c r="B1390" s="2" t="s">
        <v>3460</v>
      </c>
      <c r="C1390" s="2" t="s">
        <v>36</v>
      </c>
      <c r="D1390" s="2" t="s">
        <v>37</v>
      </c>
      <c r="E1390" s="5">
        <v>-30025</v>
      </c>
      <c r="F1390" s="3" t="s">
        <v>458</v>
      </c>
      <c r="G1390" s="3" t="s">
        <v>39</v>
      </c>
      <c r="H1390" s="2" t="s">
        <v>21</v>
      </c>
      <c r="I1390" s="2" t="s">
        <v>3487</v>
      </c>
      <c r="J1390" s="3" t="str">
        <f>HYPERLINK("https://www.boe.es/gazeta/dias/1817/10/16/pdfs/GMD-1817-124.pdf#page=5","Abrir facsímil")</f>
        <v>Abrir facsímil</v>
      </c>
      <c r="K1390" s="3" t="s">
        <v>23</v>
      </c>
    </row>
    <row r="1391" spans="1:11" ht="42" customHeight="1">
      <c r="A1391" s="2" t="s">
        <v>3460</v>
      </c>
      <c r="B1391" s="2" t="s">
        <v>3460</v>
      </c>
      <c r="C1391" s="2" t="s">
        <v>43</v>
      </c>
      <c r="D1391" s="2" t="s">
        <v>44</v>
      </c>
      <c r="E1391" s="5">
        <v>-29978</v>
      </c>
      <c r="F1391" s="3" t="s">
        <v>478</v>
      </c>
      <c r="G1391" s="3" t="s">
        <v>887</v>
      </c>
      <c r="H1391" s="2" t="s">
        <v>21</v>
      </c>
      <c r="I1391" s="2" t="s">
        <v>3488</v>
      </c>
      <c r="J1391" s="3" t="str">
        <f>HYPERLINK("https://www.boe.es/gazeta/dias/1817/12/02/pdfs/GMD-1817-144.pdf#page=9","Abrir facsímil")</f>
        <v>Abrir facsímil</v>
      </c>
      <c r="K1391" s="3" t="s">
        <v>23</v>
      </c>
    </row>
    <row r="1392" spans="1:11" ht="42" customHeight="1">
      <c r="A1392" s="2" t="s">
        <v>3460</v>
      </c>
      <c r="B1392" s="2" t="s">
        <v>3460</v>
      </c>
      <c r="C1392" s="2" t="s">
        <v>17</v>
      </c>
      <c r="D1392" s="2" t="s">
        <v>18</v>
      </c>
      <c r="E1392" s="5">
        <v>-29953</v>
      </c>
      <c r="F1392" s="3" t="s">
        <v>793</v>
      </c>
      <c r="G1392" s="3" t="s">
        <v>57</v>
      </c>
      <c r="H1392" s="2" t="s">
        <v>21</v>
      </c>
      <c r="I1392" s="2" t="s">
        <v>3489</v>
      </c>
      <c r="J1392" s="3" t="str">
        <f>HYPERLINK("https://www.boe.es/gazeta/dias/1817/12/27/pdfs/GMD-1817-155.pdf#page=6","Abrir facsímil")</f>
        <v>Abrir facsímil</v>
      </c>
      <c r="K1392" s="3" t="s">
        <v>23</v>
      </c>
    </row>
    <row r="1393" spans="1:11" ht="42" customHeight="1">
      <c r="A1393" s="2" t="s">
        <v>3490</v>
      </c>
      <c r="B1393" s="2" t="s">
        <v>3490</v>
      </c>
      <c r="C1393" s="2" t="s">
        <v>17</v>
      </c>
      <c r="D1393" s="2" t="s">
        <v>18</v>
      </c>
      <c r="E1393" s="5">
        <v>-30046</v>
      </c>
      <c r="F1393" s="3" t="s">
        <v>214</v>
      </c>
      <c r="G1393" s="3" t="s">
        <v>3491</v>
      </c>
      <c r="H1393" s="2" t="s">
        <v>21</v>
      </c>
      <c r="I1393" s="2" t="s">
        <v>3492</v>
      </c>
      <c r="J1393" s="3" t="str">
        <f>HYPERLINK("https://www.boe.es/gazeta/dias/1817/09/25/pdfs/GMD-1817-115.pdf#page=5","Abrir facsímil")</f>
        <v>Abrir facsímil</v>
      </c>
      <c r="K1393" s="3" t="s">
        <v>23</v>
      </c>
    </row>
    <row r="1394" spans="1:11" ht="42" customHeight="1">
      <c r="A1394" s="2" t="s">
        <v>3493</v>
      </c>
      <c r="B1394" s="2" t="s">
        <v>3493</v>
      </c>
      <c r="C1394" s="2" t="s">
        <v>36</v>
      </c>
      <c r="D1394" s="2" t="s">
        <v>37</v>
      </c>
      <c r="E1394" s="5">
        <v>-29962</v>
      </c>
      <c r="F1394" s="3" t="s">
        <v>485</v>
      </c>
      <c r="G1394" s="3" t="s">
        <v>39</v>
      </c>
      <c r="H1394" s="2" t="s">
        <v>21</v>
      </c>
      <c r="I1394" s="2" t="s">
        <v>3494</v>
      </c>
      <c r="J1394" s="3" t="str">
        <f>HYPERLINK("https://www.boe.es/gazeta/dias/1817/12/18/pdfs/GMD-1817-151.pdf#page=5","Abrir facsímil")</f>
        <v>Abrir facsímil</v>
      </c>
      <c r="K1394" s="3" t="s">
        <v>23</v>
      </c>
    </row>
    <row r="1395" spans="1:11" ht="42" customHeight="1">
      <c r="A1395" s="2" t="s">
        <v>3495</v>
      </c>
      <c r="B1395" s="2" t="s">
        <v>3496</v>
      </c>
      <c r="C1395" s="2" t="s">
        <v>17</v>
      </c>
      <c r="D1395" s="2" t="s">
        <v>18</v>
      </c>
      <c r="E1395" s="5">
        <v>-30186</v>
      </c>
      <c r="F1395" s="3" t="s">
        <v>2003</v>
      </c>
      <c r="G1395" s="3" t="s">
        <v>2886</v>
      </c>
      <c r="H1395" s="2" t="s">
        <v>21</v>
      </c>
      <c r="I1395" s="2" t="s">
        <v>3497</v>
      </c>
      <c r="J1395" s="3" t="str">
        <f>HYPERLINK("https://www.boe.es/gazeta/dias/1817/05/08/pdfs/GMD-1817-55.pdf#page=6","Abrir facsímil")</f>
        <v>Abrir facsímil</v>
      </c>
      <c r="K1395" s="3" t="s">
        <v>23</v>
      </c>
    </row>
    <row r="1396" spans="1:11" ht="42" customHeight="1">
      <c r="A1396" s="2" t="s">
        <v>3498</v>
      </c>
      <c r="B1396" s="2" t="s">
        <v>3499</v>
      </c>
      <c r="C1396" s="2" t="s">
        <v>55</v>
      </c>
      <c r="D1396" s="2" t="s">
        <v>44</v>
      </c>
      <c r="E1396" s="5">
        <v>-30303</v>
      </c>
      <c r="F1396" s="3" t="s">
        <v>407</v>
      </c>
      <c r="G1396" s="3" t="s">
        <v>39</v>
      </c>
      <c r="H1396" s="2" t="s">
        <v>21</v>
      </c>
      <c r="I1396" s="2" t="s">
        <v>3500</v>
      </c>
      <c r="J1396" s="3" t="str">
        <f>HYPERLINK("https://www.boe.es/gazeta/dias/1817/01/11/pdfs/GMD-1817-5.pdf#page=5","Abrir facsímil")</f>
        <v>Abrir facsímil</v>
      </c>
      <c r="K1396" s="3" t="s">
        <v>23</v>
      </c>
    </row>
    <row r="1397" spans="1:11" ht="42" customHeight="1">
      <c r="A1397" s="2" t="s">
        <v>3501</v>
      </c>
      <c r="B1397" s="2" t="s">
        <v>3502</v>
      </c>
      <c r="C1397" s="2" t="s">
        <v>36</v>
      </c>
      <c r="D1397" s="2" t="s">
        <v>37</v>
      </c>
      <c r="E1397" s="5">
        <v>-30303</v>
      </c>
      <c r="F1397" s="3" t="s">
        <v>407</v>
      </c>
      <c r="G1397" s="3" t="s">
        <v>57</v>
      </c>
      <c r="H1397" s="2" t="s">
        <v>21</v>
      </c>
      <c r="I1397" s="2" t="s">
        <v>3503</v>
      </c>
      <c r="J1397" s="3" t="str">
        <f>HYPERLINK("https://www.boe.es/gazeta/dias/1817/01/11/pdfs/GMD-1817-5.pdf#page=6","Abrir facsímil")</f>
        <v>Abrir facsímil</v>
      </c>
      <c r="K1397" s="3" t="s">
        <v>23</v>
      </c>
    </row>
    <row r="1398" spans="1:11" ht="42" customHeight="1">
      <c r="A1398" s="2" t="s">
        <v>3504</v>
      </c>
      <c r="B1398" s="2" t="s">
        <v>3505</v>
      </c>
      <c r="C1398" s="2" t="s">
        <v>36</v>
      </c>
      <c r="D1398" s="2" t="s">
        <v>37</v>
      </c>
      <c r="E1398" s="5">
        <v>-30303</v>
      </c>
      <c r="F1398" s="3" t="s">
        <v>407</v>
      </c>
      <c r="G1398" s="3" t="s">
        <v>57</v>
      </c>
      <c r="H1398" s="2" t="s">
        <v>21</v>
      </c>
      <c r="I1398" s="2" t="s">
        <v>3506</v>
      </c>
      <c r="J1398" s="3" t="str">
        <f>HYPERLINK("https://www.boe.es/gazeta/dias/1817/01/11/pdfs/GMD-1817-5.pdf#page=6","Abrir facsímil")</f>
        <v>Abrir facsímil</v>
      </c>
      <c r="K1398" s="3" t="s">
        <v>23</v>
      </c>
    </row>
    <row r="1399" spans="1:11" ht="42" customHeight="1">
      <c r="A1399" s="2" t="s">
        <v>3507</v>
      </c>
      <c r="B1399" s="2" t="s">
        <v>3508</v>
      </c>
      <c r="C1399" s="2" t="s">
        <v>36</v>
      </c>
      <c r="D1399" s="2" t="s">
        <v>37</v>
      </c>
      <c r="E1399" s="5">
        <v>-30172</v>
      </c>
      <c r="F1399" s="3" t="s">
        <v>991</v>
      </c>
      <c r="G1399" s="3" t="s">
        <v>39</v>
      </c>
      <c r="H1399" s="2" t="s">
        <v>27</v>
      </c>
      <c r="I1399" s="2" t="s">
        <v>3509</v>
      </c>
      <c r="J1399" s="3" t="str">
        <f>HYPERLINK("https://www.boe.es/gazeta/dias/1817/05/22/pdfs/GMD-1817-61.pdf#page=5","Abrir facsímil")</f>
        <v>Abrir facsímil</v>
      </c>
      <c r="K1399" s="3" t="s">
        <v>29</v>
      </c>
    </row>
    <row r="1400" spans="1:11" ht="42" customHeight="1">
      <c r="A1400" s="2" t="s">
        <v>3510</v>
      </c>
      <c r="B1400" s="2" t="s">
        <v>3511</v>
      </c>
      <c r="C1400" s="2" t="s">
        <v>17</v>
      </c>
      <c r="D1400" s="2" t="s">
        <v>18</v>
      </c>
      <c r="E1400" s="5">
        <v>-30310</v>
      </c>
      <c r="F1400" s="3" t="s">
        <v>93</v>
      </c>
      <c r="G1400" s="3" t="s">
        <v>20</v>
      </c>
      <c r="H1400" s="2" t="s">
        <v>21</v>
      </c>
      <c r="I1400" s="2" t="s">
        <v>3512</v>
      </c>
      <c r="J1400" s="3" t="str">
        <f>HYPERLINK("https://www.boe.es/gazeta/dias/1817/01/04/pdfs/GMD-1817-2.pdf#page=7","Abrir facsímil")</f>
        <v>Abrir facsímil</v>
      </c>
      <c r="K1400" s="3" t="s">
        <v>23</v>
      </c>
    </row>
    <row r="1401" spans="1:11" ht="42" customHeight="1">
      <c r="A1401" s="2" t="s">
        <v>3513</v>
      </c>
      <c r="B1401" s="2" t="s">
        <v>3514</v>
      </c>
      <c r="C1401" s="2" t="s">
        <v>36</v>
      </c>
      <c r="D1401" s="2" t="s">
        <v>37</v>
      </c>
      <c r="E1401" s="5">
        <v>-29974</v>
      </c>
      <c r="F1401" s="3" t="s">
        <v>32</v>
      </c>
      <c r="G1401" s="3" t="s">
        <v>3515</v>
      </c>
      <c r="H1401" s="2" t="s">
        <v>21</v>
      </c>
      <c r="I1401" s="2" t="s">
        <v>3516</v>
      </c>
      <c r="J1401" s="3" t="str">
        <f>HYPERLINK("https://www.boe.es/gazeta/dias/1817/12/06/pdfs/GMD-1817-146.pdf#page=4","Abrir facsímil")</f>
        <v>Abrir facsímil</v>
      </c>
      <c r="K1401" s="3" t="s">
        <v>23</v>
      </c>
    </row>
    <row r="1402" spans="1:11" ht="42" customHeight="1">
      <c r="A1402" s="2" t="s">
        <v>3517</v>
      </c>
      <c r="B1402" s="2" t="s">
        <v>3517</v>
      </c>
      <c r="C1402" s="2" t="s">
        <v>36</v>
      </c>
      <c r="D1402" s="2" t="s">
        <v>37</v>
      </c>
      <c r="E1402" s="5">
        <v>-30114</v>
      </c>
      <c r="F1402" s="3" t="s">
        <v>500</v>
      </c>
      <c r="G1402" s="3" t="s">
        <v>551</v>
      </c>
      <c r="H1402" s="2" t="s">
        <v>21</v>
      </c>
      <c r="I1402" s="2" t="s">
        <v>3518</v>
      </c>
      <c r="J1402" s="3" t="str">
        <f>HYPERLINK("https://www.boe.es/gazeta/dias/1817/07/19/pdfs/GMD-1817-86.pdf#page=3","Abrir facsímil")</f>
        <v>Abrir facsímil</v>
      </c>
      <c r="K1402" s="3" t="s">
        <v>23</v>
      </c>
    </row>
    <row r="1403" spans="1:11" ht="42" customHeight="1">
      <c r="A1403" s="2" t="s">
        <v>3519</v>
      </c>
      <c r="B1403" s="2" t="s">
        <v>3520</v>
      </c>
      <c r="C1403" s="2" t="s">
        <v>36</v>
      </c>
      <c r="D1403" s="2" t="s">
        <v>37</v>
      </c>
      <c r="E1403" s="5">
        <v>-30009</v>
      </c>
      <c r="F1403" s="3" t="s">
        <v>512</v>
      </c>
      <c r="G1403" s="3" t="s">
        <v>77</v>
      </c>
      <c r="H1403" s="2" t="s">
        <v>21</v>
      </c>
      <c r="I1403" s="2" t="s">
        <v>3521</v>
      </c>
      <c r="J1403" s="3" t="str">
        <f>HYPERLINK("https://www.boe.es/gazeta/dias/1817/11/01/pdfs/GMD-1817-131.pdf#page=8","Abrir facsímil")</f>
        <v>Abrir facsímil</v>
      </c>
      <c r="K1403" s="3" t="s">
        <v>23</v>
      </c>
    </row>
    <row r="1404" spans="1:11" ht="42" customHeight="1">
      <c r="A1404" s="2" t="s">
        <v>3522</v>
      </c>
      <c r="B1404" s="2" t="s">
        <v>3523</v>
      </c>
      <c r="C1404" s="2" t="s">
        <v>43</v>
      </c>
      <c r="D1404" s="2" t="s">
        <v>44</v>
      </c>
      <c r="E1404" s="5">
        <v>-30237</v>
      </c>
      <c r="F1404" s="3" t="s">
        <v>56</v>
      </c>
      <c r="G1404" s="3" t="s">
        <v>20</v>
      </c>
      <c r="H1404" s="2" t="s">
        <v>21</v>
      </c>
      <c r="I1404" s="2" t="s">
        <v>3524</v>
      </c>
      <c r="J1404" s="3" t="str">
        <f>HYPERLINK("https://www.boe.es/gazeta/dias/1817/03/18/pdfs/GMD-1817-33.pdf#page=7","Abrir facsímil")</f>
        <v>Abrir facsímil</v>
      </c>
      <c r="K1404" s="3" t="s">
        <v>23</v>
      </c>
    </row>
    <row r="1405" spans="1:11" ht="42" customHeight="1">
      <c r="A1405" s="2" t="s">
        <v>3525</v>
      </c>
      <c r="B1405" s="2" t="s">
        <v>3526</v>
      </c>
      <c r="C1405" s="2" t="s">
        <v>36</v>
      </c>
      <c r="D1405" s="2" t="s">
        <v>37</v>
      </c>
      <c r="E1405" s="5">
        <v>-30275</v>
      </c>
      <c r="F1405" s="3" t="s">
        <v>1025</v>
      </c>
      <c r="G1405" s="3" t="s">
        <v>57</v>
      </c>
      <c r="H1405" s="2" t="s">
        <v>21</v>
      </c>
      <c r="I1405" s="2" t="s">
        <v>3527</v>
      </c>
      <c r="J1405" s="3" t="str">
        <f>HYPERLINK("https://www.boe.es/gazeta/dias/1817/02/08/pdfs/GMD-1817-17.pdf#page=6","Abrir facsímil")</f>
        <v>Abrir facsímil</v>
      </c>
      <c r="K1405" s="3" t="s">
        <v>23</v>
      </c>
    </row>
    <row r="1406" spans="1:11" ht="42" customHeight="1">
      <c r="A1406" s="2" t="s">
        <v>3525</v>
      </c>
      <c r="B1406" s="2" t="s">
        <v>3526</v>
      </c>
      <c r="C1406" s="2" t="s">
        <v>17</v>
      </c>
      <c r="D1406" s="2" t="s">
        <v>18</v>
      </c>
      <c r="E1406" s="5">
        <v>-30251</v>
      </c>
      <c r="F1406" s="3" t="s">
        <v>2096</v>
      </c>
      <c r="G1406" s="3" t="s">
        <v>20</v>
      </c>
      <c r="H1406" s="2" t="s">
        <v>21</v>
      </c>
      <c r="I1406" s="2" t="s">
        <v>3528</v>
      </c>
      <c r="J1406" s="3" t="str">
        <f>HYPERLINK("https://www.boe.es/gazeta/dias/1817/03/04/pdfs/GMD-1817-27.pdf#page=7","Abrir facsímil")</f>
        <v>Abrir facsímil</v>
      </c>
      <c r="K1406" s="3" t="s">
        <v>23</v>
      </c>
    </row>
    <row r="1407" spans="1:11" ht="42" customHeight="1">
      <c r="A1407" s="2" t="s">
        <v>3529</v>
      </c>
      <c r="B1407" s="2" t="s">
        <v>3530</v>
      </c>
      <c r="C1407" s="2" t="s">
        <v>36</v>
      </c>
      <c r="D1407" s="2" t="s">
        <v>37</v>
      </c>
      <c r="E1407" s="5">
        <v>-29981</v>
      </c>
      <c r="F1407" s="3" t="s">
        <v>111</v>
      </c>
      <c r="G1407" s="3" t="s">
        <v>39</v>
      </c>
      <c r="H1407" s="2" t="s">
        <v>21</v>
      </c>
      <c r="I1407" s="2" t="s">
        <v>3531</v>
      </c>
      <c r="J1407" s="3" t="str">
        <f>HYPERLINK("https://www.boe.es/gazeta/dias/1817/11/29/pdfs/GMD-1817-143.pdf#page=5","Abrir facsímil")</f>
        <v>Abrir facsímil</v>
      </c>
      <c r="K1407" s="3" t="s">
        <v>23</v>
      </c>
    </row>
    <row r="1408" spans="1:11" ht="42" customHeight="1">
      <c r="A1408" s="2" t="s">
        <v>3532</v>
      </c>
      <c r="B1408" s="2" t="s">
        <v>3533</v>
      </c>
      <c r="C1408" s="2" t="s">
        <v>43</v>
      </c>
      <c r="D1408" s="2" t="s">
        <v>44</v>
      </c>
      <c r="E1408" s="5">
        <v>-30307</v>
      </c>
      <c r="F1408" s="3" t="s">
        <v>67</v>
      </c>
      <c r="G1408" s="3" t="s">
        <v>68</v>
      </c>
      <c r="H1408" s="2" t="s">
        <v>27</v>
      </c>
      <c r="I1408" s="2" t="s">
        <v>3534</v>
      </c>
      <c r="J1408" s="3" t="str">
        <f>HYPERLINK("https://www.boe.es/gazeta/dias/1817/01/07/pdfs/GMD-1817-3.pdf#page=8","Abrir facsímil")</f>
        <v>Abrir facsímil</v>
      </c>
      <c r="K1408" s="3" t="s">
        <v>29</v>
      </c>
    </row>
    <row r="1409" spans="1:11" ht="42" customHeight="1">
      <c r="A1409" s="2" t="s">
        <v>3535</v>
      </c>
      <c r="B1409" s="2" t="s">
        <v>3536</v>
      </c>
      <c r="C1409" s="2" t="s">
        <v>36</v>
      </c>
      <c r="D1409" s="2" t="s">
        <v>37</v>
      </c>
      <c r="E1409" s="5">
        <v>-29976</v>
      </c>
      <c r="F1409" s="3" t="s">
        <v>81</v>
      </c>
      <c r="G1409" s="3" t="s">
        <v>20</v>
      </c>
      <c r="H1409" s="2" t="s">
        <v>21</v>
      </c>
      <c r="I1409" s="2" t="s">
        <v>3537</v>
      </c>
      <c r="J1409" s="3" t="str">
        <f>HYPERLINK("https://www.boe.es/gazeta/dias/1817/12/04/pdfs/GMD-1817-145.pdf#page=7","Abrir facsímil")</f>
        <v>Abrir facsímil</v>
      </c>
      <c r="K1409" s="3" t="s">
        <v>23</v>
      </c>
    </row>
    <row r="1410" spans="1:11" ht="42" customHeight="1">
      <c r="A1410" s="2" t="s">
        <v>3538</v>
      </c>
      <c r="B1410" s="2" t="s">
        <v>3538</v>
      </c>
      <c r="C1410" s="2" t="s">
        <v>138</v>
      </c>
      <c r="D1410" s="2" t="s">
        <v>44</v>
      </c>
      <c r="E1410" s="5">
        <v>-30221</v>
      </c>
      <c r="F1410" s="3" t="s">
        <v>256</v>
      </c>
      <c r="G1410" s="3" t="s">
        <v>57</v>
      </c>
      <c r="H1410" s="2" t="s">
        <v>21</v>
      </c>
      <c r="I1410" s="2" t="s">
        <v>3539</v>
      </c>
      <c r="J1410" s="3" t="str">
        <f>HYPERLINK("https://www.boe.es/gazeta/dias/1817/04/03/pdfs/GMD-1817-40.pdf#page=6","Abrir facsímil")</f>
        <v>Abrir facsímil</v>
      </c>
      <c r="K1410" s="3" t="s">
        <v>23</v>
      </c>
    </row>
    <row r="1411" spans="1:11" ht="42" customHeight="1">
      <c r="A1411" s="2" t="s">
        <v>3540</v>
      </c>
      <c r="B1411" s="2" t="s">
        <v>3540</v>
      </c>
      <c r="C1411" s="2" t="s">
        <v>36</v>
      </c>
      <c r="D1411" s="2" t="s">
        <v>37</v>
      </c>
      <c r="E1411" s="5">
        <v>-30102</v>
      </c>
      <c r="F1411" s="3" t="s">
        <v>502</v>
      </c>
      <c r="G1411" s="3" t="s">
        <v>629</v>
      </c>
      <c r="H1411" s="2" t="s">
        <v>21</v>
      </c>
      <c r="I1411" s="2" t="s">
        <v>3541</v>
      </c>
      <c r="J1411" s="3" t="str">
        <f>HYPERLINK("https://www.boe.es/gazeta/dias/1817/07/31/pdfs/GMD-1817-91.pdf#page=2","Abrir facsímil")</f>
        <v>Abrir facsímil</v>
      </c>
      <c r="K1411" s="3" t="s">
        <v>23</v>
      </c>
    </row>
    <row r="1412" spans="1:11" ht="42" customHeight="1">
      <c r="A1412" s="2" t="s">
        <v>3542</v>
      </c>
      <c r="B1412" s="2" t="s">
        <v>3542</v>
      </c>
      <c r="C1412" s="2" t="s">
        <v>49</v>
      </c>
      <c r="D1412" s="2" t="s">
        <v>44</v>
      </c>
      <c r="E1412" s="5">
        <v>-30090</v>
      </c>
      <c r="F1412" s="3" t="s">
        <v>89</v>
      </c>
      <c r="G1412" s="3" t="s">
        <v>629</v>
      </c>
      <c r="H1412" s="2" t="s">
        <v>21</v>
      </c>
      <c r="I1412" s="2" t="s">
        <v>3543</v>
      </c>
      <c r="J1412" s="3" t="str">
        <f>HYPERLINK("https://www.boe.es/gazeta/dias/1817/08/12/pdfs/GMD-1817-96.pdf#page=2","Abrir facsímil")</f>
        <v>Abrir facsímil</v>
      </c>
      <c r="K1412" s="3" t="s">
        <v>23</v>
      </c>
    </row>
    <row r="1413" spans="1:11" ht="42" customHeight="1">
      <c r="A1413" s="2" t="s">
        <v>3544</v>
      </c>
      <c r="B1413" s="2" t="s">
        <v>3544</v>
      </c>
      <c r="C1413" s="2" t="s">
        <v>17</v>
      </c>
      <c r="D1413" s="2" t="s">
        <v>18</v>
      </c>
      <c r="E1413" s="5">
        <v>-30177</v>
      </c>
      <c r="F1413" s="3" t="s">
        <v>633</v>
      </c>
      <c r="G1413" s="3" t="s">
        <v>144</v>
      </c>
      <c r="H1413" s="2" t="s">
        <v>21</v>
      </c>
      <c r="I1413" s="2" t="s">
        <v>3545</v>
      </c>
      <c r="J1413" s="3" t="str">
        <f>HYPERLINK("https://www.boe.es/gazeta/dias/1817/05/17/pdfs/GMD-1817-59.pdf#page=4","Abrir facsímil")</f>
        <v>Abrir facsímil</v>
      </c>
      <c r="K1413" s="3" t="s">
        <v>23</v>
      </c>
    </row>
    <row r="1414" spans="1:11" ht="42" customHeight="1">
      <c r="A1414" s="2" t="s">
        <v>3546</v>
      </c>
      <c r="B1414" s="2" t="s">
        <v>3546</v>
      </c>
      <c r="C1414" s="2" t="s">
        <v>510</v>
      </c>
      <c r="D1414" s="2" t="s">
        <v>44</v>
      </c>
      <c r="E1414" s="5">
        <v>-30261</v>
      </c>
      <c r="F1414" s="3" t="s">
        <v>226</v>
      </c>
      <c r="G1414" s="3" t="s">
        <v>39</v>
      </c>
      <c r="H1414" s="2" t="s">
        <v>21</v>
      </c>
      <c r="I1414" s="2" t="s">
        <v>3547</v>
      </c>
      <c r="J1414" s="3" t="str">
        <f>HYPERLINK("https://www.boe.es/gazeta/dias/1817/02/22/pdfs/GMD-1817-23.pdf#page=5","Abrir facsímil")</f>
        <v>Abrir facsímil</v>
      </c>
      <c r="K1414" s="3" t="s">
        <v>23</v>
      </c>
    </row>
    <row r="1415" spans="1:11" ht="42" customHeight="1">
      <c r="A1415" s="2" t="s">
        <v>3548</v>
      </c>
      <c r="B1415" s="2" t="s">
        <v>3548</v>
      </c>
      <c r="C1415" s="2" t="s">
        <v>43</v>
      </c>
      <c r="D1415" s="2" t="s">
        <v>44</v>
      </c>
      <c r="E1415" s="5">
        <v>-30151</v>
      </c>
      <c r="F1415" s="3" t="s">
        <v>1422</v>
      </c>
      <c r="G1415" s="3" t="s">
        <v>39</v>
      </c>
      <c r="H1415" s="2" t="s">
        <v>21</v>
      </c>
      <c r="I1415" s="2" t="s">
        <v>3549</v>
      </c>
      <c r="J1415" s="3" t="str">
        <f>HYPERLINK("https://www.boe.es/gazeta/dias/1817/06/12/pdfs/GMD-1817-70.pdf#page=5","Abrir facsímil")</f>
        <v>Abrir facsímil</v>
      </c>
      <c r="K1415" s="3" t="s">
        <v>23</v>
      </c>
    </row>
    <row r="1416" spans="1:11" ht="42" customHeight="1">
      <c r="A1416" s="2" t="s">
        <v>3550</v>
      </c>
      <c r="B1416" s="2" t="s">
        <v>3550</v>
      </c>
      <c r="C1416" s="2" t="s">
        <v>36</v>
      </c>
      <c r="D1416" s="2" t="s">
        <v>37</v>
      </c>
      <c r="E1416" s="5">
        <v>-29983</v>
      </c>
      <c r="F1416" s="3" t="s">
        <v>148</v>
      </c>
      <c r="G1416" s="3" t="s">
        <v>1214</v>
      </c>
      <c r="H1416" s="2" t="s">
        <v>21</v>
      </c>
      <c r="I1416" s="2" t="s">
        <v>3551</v>
      </c>
      <c r="J1416" s="3" t="str">
        <f>HYPERLINK("https://www.boe.es/gazeta/dias/1817/11/27/pdfs/GMD-1817-142.pdf#page=5","Abrir facsímil")</f>
        <v>Abrir facsímil</v>
      </c>
      <c r="K1416" s="3" t="s">
        <v>23</v>
      </c>
    </row>
    <row r="1417" spans="1:11" ht="42" customHeight="1">
      <c r="A1417" s="2" t="s">
        <v>3552</v>
      </c>
      <c r="B1417" s="2" t="s">
        <v>3553</v>
      </c>
      <c r="C1417" s="2" t="s">
        <v>510</v>
      </c>
      <c r="D1417" s="2" t="s">
        <v>44</v>
      </c>
      <c r="E1417" s="5">
        <v>-29971</v>
      </c>
      <c r="F1417" s="3" t="s">
        <v>517</v>
      </c>
      <c r="G1417" s="3" t="s">
        <v>82</v>
      </c>
      <c r="H1417" s="2" t="s">
        <v>21</v>
      </c>
      <c r="I1417" s="2" t="s">
        <v>3554</v>
      </c>
      <c r="J1417" s="3" t="str">
        <f>HYPERLINK("https://www.boe.es/gazeta/dias/1817/12/09/pdfs/GMD-1817-147.pdf#page=12","Abrir facsímil")</f>
        <v>Abrir facsímil</v>
      </c>
      <c r="K1417" s="3" t="s">
        <v>23</v>
      </c>
    </row>
    <row r="1418" spans="1:11" ht="42" customHeight="1">
      <c r="A1418" s="2" t="s">
        <v>3555</v>
      </c>
      <c r="B1418" s="2" t="s">
        <v>3556</v>
      </c>
      <c r="C1418" s="2" t="s">
        <v>36</v>
      </c>
      <c r="D1418" s="2" t="s">
        <v>37</v>
      </c>
      <c r="E1418" s="5">
        <v>-29983</v>
      </c>
      <c r="F1418" s="3" t="s">
        <v>148</v>
      </c>
      <c r="G1418" s="3" t="s">
        <v>1214</v>
      </c>
      <c r="H1418" s="2" t="s">
        <v>21</v>
      </c>
      <c r="I1418" s="2" t="s">
        <v>3557</v>
      </c>
      <c r="J1418" s="3" t="str">
        <f>HYPERLINK("https://www.boe.es/gazeta/dias/1817/11/27/pdfs/GMD-1817-142.pdf#page=5","Abrir facsímil")</f>
        <v>Abrir facsímil</v>
      </c>
      <c r="K1418" s="3" t="s">
        <v>23</v>
      </c>
    </row>
    <row r="1419" spans="1:11" ht="42" customHeight="1">
      <c r="A1419" s="2" t="s">
        <v>3558</v>
      </c>
      <c r="B1419" s="2" t="s">
        <v>3559</v>
      </c>
      <c r="C1419" s="2" t="s">
        <v>97</v>
      </c>
      <c r="D1419" s="2" t="s">
        <v>44</v>
      </c>
      <c r="E1419" s="5">
        <v>-30004</v>
      </c>
      <c r="F1419" s="3" t="s">
        <v>329</v>
      </c>
      <c r="G1419" s="3" t="s">
        <v>20</v>
      </c>
      <c r="H1419" s="2" t="s">
        <v>21</v>
      </c>
      <c r="I1419" s="2" t="s">
        <v>3560</v>
      </c>
      <c r="J1419" s="3" t="str">
        <f>HYPERLINK("https://www.boe.es/gazeta/dias/1817/11/06/pdfs/GMD-1817-133.pdf#page=7","Abrir facsímil")</f>
        <v>Abrir facsímil</v>
      </c>
      <c r="K1419" s="3" t="s">
        <v>23</v>
      </c>
    </row>
    <row r="1420" spans="1:11" ht="42" customHeight="1">
      <c r="A1420" s="2" t="s">
        <v>3558</v>
      </c>
      <c r="B1420" s="2" t="s">
        <v>3559</v>
      </c>
      <c r="C1420" s="2" t="s">
        <v>138</v>
      </c>
      <c r="D1420" s="2" t="s">
        <v>44</v>
      </c>
      <c r="E1420" s="5">
        <v>-29957</v>
      </c>
      <c r="F1420" s="3" t="s">
        <v>1001</v>
      </c>
      <c r="G1420" s="3" t="s">
        <v>3561</v>
      </c>
      <c r="H1420" s="2" t="s">
        <v>21</v>
      </c>
      <c r="I1420" s="2" t="s">
        <v>3562</v>
      </c>
      <c r="J1420" s="3" t="str">
        <f>HYPERLINK("https://www.boe.es/gazeta/dias/1817/12/23/pdfs/GMD-1817-153.pdf#page=8","Abrir facsímil")</f>
        <v>Abrir facsímil</v>
      </c>
      <c r="K1420" s="3" t="s">
        <v>23</v>
      </c>
    </row>
    <row r="1421" spans="1:11" ht="42" customHeight="1">
      <c r="A1421" s="2" t="s">
        <v>3563</v>
      </c>
      <c r="B1421" s="2" t="s">
        <v>3564</v>
      </c>
      <c r="C1421" s="2" t="s">
        <v>49</v>
      </c>
      <c r="D1421" s="2" t="s">
        <v>44</v>
      </c>
      <c r="E1421" s="5">
        <v>-30058</v>
      </c>
      <c r="F1421" s="3" t="s">
        <v>1385</v>
      </c>
      <c r="G1421" s="3" t="s">
        <v>57</v>
      </c>
      <c r="H1421" s="2" t="s">
        <v>21</v>
      </c>
      <c r="I1421" s="2" t="s">
        <v>3565</v>
      </c>
      <c r="J1421" s="3" t="str">
        <f>HYPERLINK("https://www.boe.es/gazeta/dias/1817/09/13/pdfs/GMD-1817-110.pdf#page=6","Abrir facsímil")</f>
        <v>Abrir facsímil</v>
      </c>
      <c r="K1421" s="3" t="s">
        <v>23</v>
      </c>
    </row>
    <row r="1422" spans="1:11" ht="42" customHeight="1">
      <c r="A1422" s="2" t="s">
        <v>3566</v>
      </c>
      <c r="B1422" s="2" t="s">
        <v>3566</v>
      </c>
      <c r="C1422" s="2" t="s">
        <v>43</v>
      </c>
      <c r="D1422" s="2" t="s">
        <v>44</v>
      </c>
      <c r="E1422" s="5">
        <v>-30128</v>
      </c>
      <c r="F1422" s="3" t="s">
        <v>761</v>
      </c>
      <c r="G1422" s="3" t="s">
        <v>629</v>
      </c>
      <c r="H1422" s="2" t="s">
        <v>21</v>
      </c>
      <c r="I1422" s="2" t="s">
        <v>3567</v>
      </c>
      <c r="J1422" s="3" t="str">
        <f>HYPERLINK("https://www.boe.es/gazeta/dias/1817/07/05/pdfs/GMD-1817-80.pdf#page=2","Abrir facsímil")</f>
        <v>Abrir facsímil</v>
      </c>
      <c r="K1422" s="3" t="s">
        <v>23</v>
      </c>
    </row>
    <row r="1423" spans="1:11" ht="42" customHeight="1">
      <c r="A1423" s="2" t="s">
        <v>3568</v>
      </c>
      <c r="B1423" s="2" t="s">
        <v>3569</v>
      </c>
      <c r="C1423" s="2" t="s">
        <v>43</v>
      </c>
      <c r="D1423" s="2" t="s">
        <v>44</v>
      </c>
      <c r="E1423" s="5">
        <v>-30027</v>
      </c>
      <c r="F1423" s="3" t="s">
        <v>173</v>
      </c>
      <c r="G1423" s="3" t="s">
        <v>77</v>
      </c>
      <c r="H1423" s="2" t="s">
        <v>27</v>
      </c>
      <c r="I1423" s="2" t="s">
        <v>3570</v>
      </c>
      <c r="J1423" s="3" t="str">
        <f>HYPERLINK("https://www.boe.es/gazeta/dias/1817/10/14/pdfs/GMD-1817-123.pdf#page=8","Abrir facsímil")</f>
        <v>Abrir facsímil</v>
      </c>
      <c r="K1423" s="3" t="s">
        <v>29</v>
      </c>
    </row>
    <row r="1424" spans="1:11" ht="42" customHeight="1">
      <c r="A1424" s="2" t="s">
        <v>3571</v>
      </c>
      <c r="B1424" s="2" t="s">
        <v>3572</v>
      </c>
      <c r="C1424" s="2" t="s">
        <v>36</v>
      </c>
      <c r="D1424" s="2" t="s">
        <v>37</v>
      </c>
      <c r="E1424" s="5">
        <v>-30174</v>
      </c>
      <c r="F1424" s="3" t="s">
        <v>19</v>
      </c>
      <c r="G1424" s="3" t="s">
        <v>57</v>
      </c>
      <c r="H1424" s="2" t="s">
        <v>21</v>
      </c>
      <c r="I1424" s="2" t="s">
        <v>3573</v>
      </c>
      <c r="J1424" s="3" t="str">
        <f>HYPERLINK("https://www.boe.es/gazeta/dias/1817/05/20/pdfs/GMD-1817-60.pdf#page=6","Abrir facsímil")</f>
        <v>Abrir facsímil</v>
      </c>
      <c r="K1424" s="3" t="s">
        <v>23</v>
      </c>
    </row>
    <row r="1425" spans="1:11" ht="42" customHeight="1">
      <c r="A1425" s="2" t="s">
        <v>3574</v>
      </c>
      <c r="B1425" s="2" t="s">
        <v>3575</v>
      </c>
      <c r="C1425" s="2" t="s">
        <v>138</v>
      </c>
      <c r="D1425" s="2" t="s">
        <v>44</v>
      </c>
      <c r="E1425" s="5">
        <v>-30188</v>
      </c>
      <c r="F1425" s="3" t="s">
        <v>177</v>
      </c>
      <c r="G1425" s="3" t="s">
        <v>39</v>
      </c>
      <c r="H1425" s="2" t="s">
        <v>21</v>
      </c>
      <c r="I1425" s="2" t="s">
        <v>3576</v>
      </c>
      <c r="J1425" s="3" t="str">
        <f>HYPERLINK("https://www.boe.es/gazeta/dias/1817/05/06/pdfs/GMD-1817-54.pdf#page=5","Abrir facsímil")</f>
        <v>Abrir facsímil</v>
      </c>
      <c r="K1425" s="3" t="s">
        <v>23</v>
      </c>
    </row>
    <row r="1426" spans="1:11" ht="42" customHeight="1">
      <c r="A1426" s="2" t="s">
        <v>3574</v>
      </c>
      <c r="B1426" s="2" t="s">
        <v>3575</v>
      </c>
      <c r="C1426" s="2" t="s">
        <v>49</v>
      </c>
      <c r="D1426" s="2" t="s">
        <v>44</v>
      </c>
      <c r="E1426" s="5">
        <v>-30188</v>
      </c>
      <c r="F1426" s="3" t="s">
        <v>177</v>
      </c>
      <c r="G1426" s="3" t="s">
        <v>57</v>
      </c>
      <c r="H1426" s="2" t="s">
        <v>21</v>
      </c>
      <c r="I1426" s="2" t="s">
        <v>3577</v>
      </c>
      <c r="J1426" s="3" t="str">
        <f>HYPERLINK("https://www.boe.es/gazeta/dias/1817/05/06/pdfs/GMD-1817-54.pdf#page=6","Abrir facsímil")</f>
        <v>Abrir facsímil</v>
      </c>
      <c r="K1426" s="3" t="s">
        <v>23</v>
      </c>
    </row>
    <row r="1427" spans="1:11" ht="42" customHeight="1">
      <c r="A1427" s="2" t="s">
        <v>3578</v>
      </c>
      <c r="B1427" s="2" t="s">
        <v>3579</v>
      </c>
      <c r="C1427" s="2" t="s">
        <v>17</v>
      </c>
      <c r="D1427" s="2" t="s">
        <v>18</v>
      </c>
      <c r="E1427" s="5">
        <v>-29969</v>
      </c>
      <c r="F1427" s="3" t="s">
        <v>252</v>
      </c>
      <c r="G1427" s="3" t="s">
        <v>112</v>
      </c>
      <c r="H1427" s="2" t="s">
        <v>21</v>
      </c>
      <c r="I1427" s="2" t="s">
        <v>3580</v>
      </c>
      <c r="J1427" s="3" t="str">
        <f>HYPERLINK("https://www.boe.es/gazeta/dias/1817/12/11/pdfs/GMD-1817-148.pdf#page=11","Abrir facsímil")</f>
        <v>Abrir facsímil</v>
      </c>
      <c r="K1427" s="3" t="s">
        <v>23</v>
      </c>
    </row>
    <row r="1428" spans="1:11" ht="42" customHeight="1">
      <c r="A1428" s="2" t="s">
        <v>3581</v>
      </c>
      <c r="B1428" s="2" t="s">
        <v>3581</v>
      </c>
      <c r="C1428" s="2" t="s">
        <v>36</v>
      </c>
      <c r="D1428" s="2" t="s">
        <v>37</v>
      </c>
      <c r="E1428" s="5">
        <v>-30214</v>
      </c>
      <c r="F1428" s="3" t="s">
        <v>631</v>
      </c>
      <c r="G1428" s="3" t="s">
        <v>72</v>
      </c>
      <c r="H1428" s="2" t="s">
        <v>21</v>
      </c>
      <c r="I1428" s="2" t="s">
        <v>3582</v>
      </c>
      <c r="J1428" s="3" t="str">
        <f>HYPERLINK("https://www.boe.es/gazeta/dias/1817/04/10/pdfs/GMD-1817-43.pdf#page=1","Abrir facsímil")</f>
        <v>Abrir facsímil</v>
      </c>
      <c r="K1428" s="3" t="s">
        <v>23</v>
      </c>
    </row>
    <row r="1429" spans="1:11" ht="42" customHeight="1">
      <c r="A1429" s="2" t="s">
        <v>3583</v>
      </c>
      <c r="B1429" s="2" t="s">
        <v>3584</v>
      </c>
      <c r="C1429" s="2" t="s">
        <v>36</v>
      </c>
      <c r="D1429" s="2" t="s">
        <v>37</v>
      </c>
      <c r="E1429" s="5">
        <v>-30258</v>
      </c>
      <c r="F1429" s="3" t="s">
        <v>234</v>
      </c>
      <c r="G1429" s="3" t="s">
        <v>551</v>
      </c>
      <c r="H1429" s="2" t="s">
        <v>21</v>
      </c>
      <c r="I1429" s="2" t="s">
        <v>3585</v>
      </c>
      <c r="J1429" s="3" t="str">
        <f>HYPERLINK("https://www.boe.es/gazeta/dias/1817/02/25/pdfs/GMD-1817-24.pdf#page=3","Abrir facsímil")</f>
        <v>Abrir facsímil</v>
      </c>
      <c r="K1429" s="3" t="s">
        <v>23</v>
      </c>
    </row>
    <row r="1430" spans="1:11" ht="42" customHeight="1">
      <c r="A1430" s="2" t="s">
        <v>3583</v>
      </c>
      <c r="B1430" s="2" t="s">
        <v>3584</v>
      </c>
      <c r="C1430" s="2" t="s">
        <v>36</v>
      </c>
      <c r="D1430" s="2" t="s">
        <v>37</v>
      </c>
      <c r="E1430" s="5">
        <v>-30258</v>
      </c>
      <c r="F1430" s="3" t="s">
        <v>234</v>
      </c>
      <c r="G1430" s="3" t="s">
        <v>144</v>
      </c>
      <c r="H1430" s="2" t="s">
        <v>21</v>
      </c>
      <c r="I1430" s="2" t="s">
        <v>3586</v>
      </c>
      <c r="J1430" s="3" t="str">
        <f>HYPERLINK("https://www.boe.es/gazeta/dias/1817/02/25/pdfs/GMD-1817-24.pdf#page=4","Abrir facsímil")</f>
        <v>Abrir facsímil</v>
      </c>
      <c r="K1430" s="3" t="s">
        <v>23</v>
      </c>
    </row>
    <row r="1431" spans="1:11" ht="42" customHeight="1">
      <c r="A1431" s="2" t="s">
        <v>3587</v>
      </c>
      <c r="B1431" s="2" t="s">
        <v>3588</v>
      </c>
      <c r="C1431" s="2" t="s">
        <v>36</v>
      </c>
      <c r="D1431" s="2" t="s">
        <v>37</v>
      </c>
      <c r="E1431" s="5">
        <v>-30065</v>
      </c>
      <c r="F1431" s="3" t="s">
        <v>201</v>
      </c>
      <c r="G1431" s="3" t="s">
        <v>20</v>
      </c>
      <c r="H1431" s="2" t="s">
        <v>21</v>
      </c>
      <c r="I1431" s="2" t="s">
        <v>3589</v>
      </c>
      <c r="J1431" s="3" t="str">
        <f>HYPERLINK("https://www.boe.es/gazeta/dias/1817/09/06/pdfs/GMD-1817-107.pdf#page=7","Abrir facsímil")</f>
        <v>Abrir facsímil</v>
      </c>
      <c r="K1431" s="3" t="s">
        <v>23</v>
      </c>
    </row>
    <row r="1432" spans="1:11" ht="42" customHeight="1">
      <c r="A1432" s="2" t="s">
        <v>3590</v>
      </c>
      <c r="B1432" s="2" t="s">
        <v>3591</v>
      </c>
      <c r="C1432" s="2" t="s">
        <v>36</v>
      </c>
      <c r="D1432" s="2" t="s">
        <v>37</v>
      </c>
      <c r="E1432" s="5">
        <v>-30186</v>
      </c>
      <c r="F1432" s="3" t="s">
        <v>2003</v>
      </c>
      <c r="G1432" s="3" t="s">
        <v>77</v>
      </c>
      <c r="H1432" s="2" t="s">
        <v>21</v>
      </c>
      <c r="I1432" s="2" t="s">
        <v>3592</v>
      </c>
      <c r="J1432" s="3" t="str">
        <f>HYPERLINK("https://www.boe.es/gazeta/dias/1817/05/08/pdfs/GMD-1817-55.pdf#page=8","Abrir facsímil")</f>
        <v>Abrir facsímil</v>
      </c>
      <c r="K1432" s="3" t="s">
        <v>23</v>
      </c>
    </row>
    <row r="1433" spans="1:11" ht="42" customHeight="1">
      <c r="A1433" s="2" t="s">
        <v>3590</v>
      </c>
      <c r="B1433" s="2" t="s">
        <v>3591</v>
      </c>
      <c r="C1433" s="2" t="s">
        <v>49</v>
      </c>
      <c r="D1433" s="2" t="s">
        <v>44</v>
      </c>
      <c r="E1433" s="5">
        <v>-29990</v>
      </c>
      <c r="F1433" s="3" t="s">
        <v>542</v>
      </c>
      <c r="G1433" s="3" t="s">
        <v>77</v>
      </c>
      <c r="H1433" s="2" t="s">
        <v>21</v>
      </c>
      <c r="I1433" s="2" t="s">
        <v>3593</v>
      </c>
      <c r="J1433" s="3" t="str">
        <f>HYPERLINK("https://www.boe.es/gazeta/dias/1817/11/20/pdfs/GMD-1817-139.pdf#page=8","Abrir facsímil")</f>
        <v>Abrir facsímil</v>
      </c>
      <c r="K1433" s="3" t="s">
        <v>23</v>
      </c>
    </row>
    <row r="1434" spans="1:11" ht="42" customHeight="1">
      <c r="A1434" s="2" t="s">
        <v>3594</v>
      </c>
      <c r="B1434" s="2" t="s">
        <v>3595</v>
      </c>
      <c r="C1434" s="2" t="s">
        <v>36</v>
      </c>
      <c r="D1434" s="2" t="s">
        <v>37</v>
      </c>
      <c r="E1434" s="5">
        <v>-30013</v>
      </c>
      <c r="F1434" s="3" t="s">
        <v>464</v>
      </c>
      <c r="G1434" s="3" t="s">
        <v>57</v>
      </c>
      <c r="H1434" s="2" t="s">
        <v>27</v>
      </c>
      <c r="I1434" s="2" t="s">
        <v>3596</v>
      </c>
      <c r="J1434" s="3" t="str">
        <f>HYPERLINK("https://www.boe.es/gazeta/dias/1817/10/28/pdfs/GMD-1817-129.pdf#page=6","Abrir facsímil")</f>
        <v>Abrir facsímil</v>
      </c>
      <c r="K1434" s="3" t="s">
        <v>29</v>
      </c>
    </row>
    <row r="1435" spans="1:11" ht="42" customHeight="1">
      <c r="A1435" s="2" t="s">
        <v>3597</v>
      </c>
      <c r="B1435" s="2" t="s">
        <v>3597</v>
      </c>
      <c r="C1435" s="2" t="s">
        <v>36</v>
      </c>
      <c r="D1435" s="2" t="s">
        <v>37</v>
      </c>
      <c r="E1435" s="5">
        <v>-30240</v>
      </c>
      <c r="F1435" s="3" t="s">
        <v>347</v>
      </c>
      <c r="G1435" s="3" t="s">
        <v>629</v>
      </c>
      <c r="H1435" s="2" t="s">
        <v>21</v>
      </c>
      <c r="I1435" s="2" t="s">
        <v>3598</v>
      </c>
      <c r="J1435" s="3" t="str">
        <f>HYPERLINK("https://www.boe.es/gazeta/dias/1817/03/15/pdfs/GMD-1817-32.pdf#page=2","Abrir facsímil")</f>
        <v>Abrir facsímil</v>
      </c>
      <c r="K1435" s="3" t="s">
        <v>23</v>
      </c>
    </row>
    <row r="1436" spans="1:11" ht="42" customHeight="1">
      <c r="A1436" s="2" t="s">
        <v>3597</v>
      </c>
      <c r="B1436" s="2" t="s">
        <v>3597</v>
      </c>
      <c r="C1436" s="2" t="s">
        <v>36</v>
      </c>
      <c r="D1436" s="2" t="s">
        <v>37</v>
      </c>
      <c r="E1436" s="5">
        <v>-30240</v>
      </c>
      <c r="F1436" s="3" t="s">
        <v>347</v>
      </c>
      <c r="G1436" s="3" t="s">
        <v>551</v>
      </c>
      <c r="H1436" s="2" t="s">
        <v>21</v>
      </c>
      <c r="I1436" s="2" t="s">
        <v>3599</v>
      </c>
      <c r="J1436" s="3" t="str">
        <f>HYPERLINK("https://www.boe.es/gazeta/dias/1817/03/15/pdfs/GMD-1817-32.pdf#page=3","Abrir facsímil")</f>
        <v>Abrir facsímil</v>
      </c>
      <c r="K1436" s="3" t="s">
        <v>23</v>
      </c>
    </row>
    <row r="1437" spans="1:11" ht="42" customHeight="1">
      <c r="A1437" s="2" t="s">
        <v>3600</v>
      </c>
      <c r="B1437" s="2" t="s">
        <v>3600</v>
      </c>
      <c r="C1437" s="2" t="s">
        <v>36</v>
      </c>
      <c r="D1437" s="2" t="s">
        <v>37</v>
      </c>
      <c r="E1437" s="5">
        <v>-30282</v>
      </c>
      <c r="F1437" s="3" t="s">
        <v>1049</v>
      </c>
      <c r="G1437" s="3" t="s">
        <v>2827</v>
      </c>
      <c r="H1437" s="2" t="s">
        <v>21</v>
      </c>
      <c r="I1437" s="2" t="s">
        <v>3601</v>
      </c>
      <c r="J1437" s="3" t="str">
        <f>HYPERLINK("https://www.boe.es/gazeta/dias/1817/02/01/pdfs/GMD-1817-14.pdf#page=8","Abrir facsímil")</f>
        <v>Abrir facsímil</v>
      </c>
      <c r="K1437" s="3" t="s">
        <v>23</v>
      </c>
    </row>
    <row r="1438" spans="1:11" ht="42" customHeight="1">
      <c r="A1438" s="2" t="s">
        <v>3600</v>
      </c>
      <c r="B1438" s="2" t="s">
        <v>3600</v>
      </c>
      <c r="C1438" s="2" t="s">
        <v>36</v>
      </c>
      <c r="D1438" s="2" t="s">
        <v>37</v>
      </c>
      <c r="E1438" s="5">
        <v>-30251</v>
      </c>
      <c r="F1438" s="3" t="s">
        <v>2096</v>
      </c>
      <c r="G1438" s="3" t="s">
        <v>2167</v>
      </c>
      <c r="H1438" s="2" t="s">
        <v>21</v>
      </c>
      <c r="I1438" s="2" t="s">
        <v>3602</v>
      </c>
      <c r="J1438" s="3" t="str">
        <f>HYPERLINK("https://www.boe.es/gazeta/dias/1817/03/04/pdfs/GMD-1817-27.pdf#page=4","Abrir facsímil")</f>
        <v>Abrir facsímil</v>
      </c>
      <c r="K1438" s="3" t="s">
        <v>23</v>
      </c>
    </row>
    <row r="1439" spans="1:11" ht="42" customHeight="1">
      <c r="A1439" s="2" t="s">
        <v>3600</v>
      </c>
      <c r="B1439" s="2" t="s">
        <v>3600</v>
      </c>
      <c r="C1439" s="2" t="s">
        <v>55</v>
      </c>
      <c r="D1439" s="2" t="s">
        <v>44</v>
      </c>
      <c r="E1439" s="5">
        <v>-30081</v>
      </c>
      <c r="F1439" s="3" t="s">
        <v>133</v>
      </c>
      <c r="G1439" s="3" t="s">
        <v>82</v>
      </c>
      <c r="H1439" s="2" t="s">
        <v>21</v>
      </c>
      <c r="I1439" s="2" t="s">
        <v>3603</v>
      </c>
      <c r="J1439" s="3" t="str">
        <f>HYPERLINK("https://www.boe.es/gazeta/dias/1817/08/21/pdfs/GMD-1817-100.pdf#page=12","Abrir facsímil")</f>
        <v>Abrir facsímil</v>
      </c>
      <c r="K1439" s="3" t="s">
        <v>23</v>
      </c>
    </row>
    <row r="1440" spans="1:11" ht="42" customHeight="1">
      <c r="A1440" s="2" t="s">
        <v>3600</v>
      </c>
      <c r="B1440" s="2" t="s">
        <v>3600</v>
      </c>
      <c r="C1440" s="2" t="s">
        <v>55</v>
      </c>
      <c r="D1440" s="2" t="s">
        <v>44</v>
      </c>
      <c r="E1440" s="5">
        <v>-30034</v>
      </c>
      <c r="F1440" s="3" t="s">
        <v>270</v>
      </c>
      <c r="G1440" s="3" t="s">
        <v>271</v>
      </c>
      <c r="H1440" s="2" t="s">
        <v>21</v>
      </c>
      <c r="I1440" s="2" t="s">
        <v>3604</v>
      </c>
      <c r="J1440" s="3" t="str">
        <f>HYPERLINK("https://www.boe.es/gazeta/dias/1817/10/07/pdfs/GMD-1817-120.pdf#page=8","Abrir facsímil")</f>
        <v>Abrir facsímil</v>
      </c>
      <c r="K1440" s="3" t="s">
        <v>23</v>
      </c>
    </row>
    <row r="1441" spans="1:11" ht="42" customHeight="1">
      <c r="A1441" s="2" t="s">
        <v>3605</v>
      </c>
      <c r="B1441" s="2" t="s">
        <v>3605</v>
      </c>
      <c r="C1441" s="2" t="s">
        <v>55</v>
      </c>
      <c r="D1441" s="2" t="s">
        <v>44</v>
      </c>
      <c r="E1441" s="5">
        <v>-30125</v>
      </c>
      <c r="F1441" s="3" t="s">
        <v>102</v>
      </c>
      <c r="G1441" s="3" t="s">
        <v>144</v>
      </c>
      <c r="H1441" s="2" t="s">
        <v>21</v>
      </c>
      <c r="I1441" s="2" t="s">
        <v>3606</v>
      </c>
      <c r="J1441" s="3" t="str">
        <f>HYPERLINK("https://www.boe.es/gazeta/dias/1817/07/08/pdfs/GMD-1817-81.pdf#page=4","Abrir facsímil")</f>
        <v>Abrir facsímil</v>
      </c>
      <c r="K1441" s="3" t="s">
        <v>23</v>
      </c>
    </row>
    <row r="1442" spans="1:11" ht="42" customHeight="1">
      <c r="A1442" s="2" t="s">
        <v>3607</v>
      </c>
      <c r="B1442" s="2" t="s">
        <v>3607</v>
      </c>
      <c r="C1442" s="2" t="s">
        <v>36</v>
      </c>
      <c r="D1442" s="2" t="s">
        <v>37</v>
      </c>
      <c r="E1442" s="5">
        <v>-30060</v>
      </c>
      <c r="F1442" s="3" t="s">
        <v>446</v>
      </c>
      <c r="G1442" s="3" t="s">
        <v>1939</v>
      </c>
      <c r="H1442" s="2" t="s">
        <v>21</v>
      </c>
      <c r="I1442" s="2" t="s">
        <v>3608</v>
      </c>
      <c r="J1442" s="3" t="str">
        <f>HYPERLINK("https://www.boe.es/gazeta/dias/1817/09/11/pdfs/GMD-1817-109.pdf#page=3","Abrir facsímil")</f>
        <v>Abrir facsímil</v>
      </c>
      <c r="K1442" s="3" t="s">
        <v>23</v>
      </c>
    </row>
    <row r="1443" spans="1:11" ht="42" customHeight="1">
      <c r="A1443" s="2" t="s">
        <v>3609</v>
      </c>
      <c r="B1443" s="2" t="s">
        <v>3609</v>
      </c>
      <c r="C1443" s="2" t="s">
        <v>36</v>
      </c>
      <c r="D1443" s="2" t="s">
        <v>37</v>
      </c>
      <c r="E1443" s="5">
        <v>-30307</v>
      </c>
      <c r="F1443" s="3" t="s">
        <v>67</v>
      </c>
      <c r="G1443" s="3" t="s">
        <v>1179</v>
      </c>
      <c r="H1443" s="2" t="s">
        <v>21</v>
      </c>
      <c r="I1443" s="2" t="s">
        <v>3610</v>
      </c>
      <c r="J1443" s="3" t="str">
        <f>HYPERLINK("https://www.boe.es/gazeta/dias/1817/01/07/pdfs/GMD-1817-3.pdf#page=7","Abrir facsímil")</f>
        <v>Abrir facsímil</v>
      </c>
      <c r="K1443" s="3" t="s">
        <v>23</v>
      </c>
    </row>
    <row r="1444" spans="1:11" ht="42" customHeight="1">
      <c r="A1444" s="2" t="s">
        <v>3609</v>
      </c>
      <c r="B1444" s="2" t="s">
        <v>3609</v>
      </c>
      <c r="C1444" s="2" t="s">
        <v>36</v>
      </c>
      <c r="D1444" s="2" t="s">
        <v>37</v>
      </c>
      <c r="E1444" s="5">
        <v>-30200</v>
      </c>
      <c r="F1444" s="3" t="s">
        <v>725</v>
      </c>
      <c r="G1444" s="3" t="s">
        <v>57</v>
      </c>
      <c r="H1444" s="2" t="s">
        <v>21</v>
      </c>
      <c r="I1444" s="2" t="s">
        <v>3611</v>
      </c>
      <c r="J1444" s="3" t="str">
        <f>HYPERLINK("https://www.boe.es/gazeta/dias/1817/04/24/pdfs/GMD-1817-49.pdf#page=6","Abrir facsímil")</f>
        <v>Abrir facsímil</v>
      </c>
      <c r="K1444" s="3" t="s">
        <v>23</v>
      </c>
    </row>
    <row r="1445" spans="1:11" ht="42" customHeight="1">
      <c r="A1445" s="2" t="s">
        <v>3609</v>
      </c>
      <c r="B1445" s="2" t="s">
        <v>3609</v>
      </c>
      <c r="C1445" s="2" t="s">
        <v>36</v>
      </c>
      <c r="D1445" s="2" t="s">
        <v>37</v>
      </c>
      <c r="E1445" s="5">
        <v>-30188</v>
      </c>
      <c r="F1445" s="3" t="s">
        <v>177</v>
      </c>
      <c r="G1445" s="3" t="s">
        <v>144</v>
      </c>
      <c r="H1445" s="2" t="s">
        <v>21</v>
      </c>
      <c r="I1445" s="2" t="s">
        <v>3612</v>
      </c>
      <c r="J1445" s="3" t="str">
        <f>HYPERLINK("https://www.boe.es/gazeta/dias/1817/05/06/pdfs/GMD-1817-54.pdf#page=4","Abrir facsímil")</f>
        <v>Abrir facsímil</v>
      </c>
      <c r="K1445" s="3" t="s">
        <v>23</v>
      </c>
    </row>
    <row r="1446" spans="1:11" ht="42" customHeight="1">
      <c r="A1446" s="2" t="s">
        <v>3609</v>
      </c>
      <c r="B1446" s="2" t="s">
        <v>3609</v>
      </c>
      <c r="C1446" s="2" t="s">
        <v>55</v>
      </c>
      <c r="D1446" s="2" t="s">
        <v>44</v>
      </c>
      <c r="E1446" s="5">
        <v>-30114</v>
      </c>
      <c r="F1446" s="3" t="s">
        <v>500</v>
      </c>
      <c r="G1446" s="3" t="s">
        <v>20</v>
      </c>
      <c r="H1446" s="2" t="s">
        <v>21</v>
      </c>
      <c r="I1446" s="2" t="s">
        <v>3613</v>
      </c>
      <c r="J1446" s="3" t="str">
        <f>HYPERLINK("https://www.boe.es/gazeta/dias/1817/07/19/pdfs/GMD-1817-86.pdf#page=7","Abrir facsímil")</f>
        <v>Abrir facsímil</v>
      </c>
      <c r="K1446" s="3" t="s">
        <v>23</v>
      </c>
    </row>
    <row r="1447" spans="1:11" ht="42" customHeight="1">
      <c r="A1447" s="2" t="s">
        <v>3609</v>
      </c>
      <c r="B1447" s="2" t="s">
        <v>3609</v>
      </c>
      <c r="C1447" s="2" t="s">
        <v>36</v>
      </c>
      <c r="D1447" s="2" t="s">
        <v>37</v>
      </c>
      <c r="E1447" s="5">
        <v>-30081</v>
      </c>
      <c r="F1447" s="3" t="s">
        <v>133</v>
      </c>
      <c r="G1447" s="3" t="s">
        <v>82</v>
      </c>
      <c r="H1447" s="2" t="s">
        <v>21</v>
      </c>
      <c r="I1447" s="2" t="s">
        <v>3614</v>
      </c>
      <c r="J1447" s="3" t="str">
        <f>HYPERLINK("https://www.boe.es/gazeta/dias/1817/08/21/pdfs/GMD-1817-100.pdf#page=12","Abrir facsímil")</f>
        <v>Abrir facsímil</v>
      </c>
      <c r="K1447" s="3" t="s">
        <v>23</v>
      </c>
    </row>
    <row r="1448" spans="1:11" ht="42" customHeight="1">
      <c r="A1448" s="2" t="s">
        <v>3609</v>
      </c>
      <c r="B1448" s="2" t="s">
        <v>3609</v>
      </c>
      <c r="C1448" s="2" t="s">
        <v>49</v>
      </c>
      <c r="D1448" s="2" t="s">
        <v>44</v>
      </c>
      <c r="E1448" s="5">
        <v>-30060</v>
      </c>
      <c r="F1448" s="3" t="s">
        <v>446</v>
      </c>
      <c r="G1448" s="3" t="s">
        <v>77</v>
      </c>
      <c r="H1448" s="2" t="s">
        <v>21</v>
      </c>
      <c r="I1448" s="2" t="s">
        <v>3615</v>
      </c>
      <c r="J1448" s="3" t="str">
        <f>HYPERLINK("https://www.boe.es/gazeta/dias/1817/09/11/pdfs/GMD-1817-109.pdf#page=8","Abrir facsímil")</f>
        <v>Abrir facsímil</v>
      </c>
      <c r="K1448" s="3" t="s">
        <v>23</v>
      </c>
    </row>
    <row r="1449" spans="1:11" ht="42" customHeight="1">
      <c r="A1449" s="2" t="s">
        <v>3609</v>
      </c>
      <c r="B1449" s="2" t="s">
        <v>3609</v>
      </c>
      <c r="C1449" s="2" t="s">
        <v>17</v>
      </c>
      <c r="D1449" s="2" t="s">
        <v>18</v>
      </c>
      <c r="E1449" s="5">
        <v>-30023</v>
      </c>
      <c r="F1449" s="3" t="s">
        <v>460</v>
      </c>
      <c r="G1449" s="3" t="s">
        <v>461</v>
      </c>
      <c r="H1449" s="2" t="s">
        <v>21</v>
      </c>
      <c r="I1449" s="2" t="s">
        <v>3616</v>
      </c>
      <c r="J1449" s="3" t="str">
        <f>HYPERLINK("https://www.boe.es/gazeta/dias/1817/10/18/pdfs/GMD-1817-125.pdf#page=8","Abrir facsímil")</f>
        <v>Abrir facsímil</v>
      </c>
      <c r="K1449" s="3" t="s">
        <v>23</v>
      </c>
    </row>
    <row r="1450" spans="1:11" ht="42" customHeight="1">
      <c r="A1450" s="2" t="s">
        <v>3609</v>
      </c>
      <c r="B1450" s="2" t="s">
        <v>3609</v>
      </c>
      <c r="C1450" s="2" t="s">
        <v>36</v>
      </c>
      <c r="D1450" s="2" t="s">
        <v>37</v>
      </c>
      <c r="E1450" s="5">
        <v>-29981</v>
      </c>
      <c r="F1450" s="3" t="s">
        <v>111</v>
      </c>
      <c r="G1450" s="3" t="s">
        <v>39</v>
      </c>
      <c r="H1450" s="2" t="s">
        <v>21</v>
      </c>
      <c r="I1450" s="2" t="s">
        <v>3617</v>
      </c>
      <c r="J1450" s="3" t="str">
        <f>HYPERLINK("https://www.boe.es/gazeta/dias/1817/11/29/pdfs/GMD-1817-143.pdf#page=5","Abrir facsímil")</f>
        <v>Abrir facsímil</v>
      </c>
      <c r="K1450" s="3" t="s">
        <v>23</v>
      </c>
    </row>
    <row r="1451" spans="1:11" ht="42" customHeight="1">
      <c r="A1451" s="2" t="s">
        <v>3618</v>
      </c>
      <c r="B1451" s="2" t="s">
        <v>3619</v>
      </c>
      <c r="C1451" s="2" t="s">
        <v>43</v>
      </c>
      <c r="D1451" s="2" t="s">
        <v>44</v>
      </c>
      <c r="E1451" s="5">
        <v>-30237</v>
      </c>
      <c r="F1451" s="3" t="s">
        <v>56</v>
      </c>
      <c r="G1451" s="3" t="s">
        <v>144</v>
      </c>
      <c r="H1451" s="2" t="s">
        <v>21</v>
      </c>
      <c r="I1451" s="2" t="s">
        <v>3620</v>
      </c>
      <c r="J1451" s="3" t="str">
        <f>HYPERLINK("https://www.boe.es/gazeta/dias/1817/03/18/pdfs/GMD-1817-33.pdf#page=4","Abrir facsímil")</f>
        <v>Abrir facsímil</v>
      </c>
      <c r="K1451" s="3" t="s">
        <v>23</v>
      </c>
    </row>
    <row r="1452" spans="1:11" ht="42" customHeight="1">
      <c r="A1452" s="2" t="s">
        <v>3621</v>
      </c>
      <c r="B1452" s="2" t="s">
        <v>3621</v>
      </c>
      <c r="C1452" s="2" t="s">
        <v>36</v>
      </c>
      <c r="D1452" s="2" t="s">
        <v>37</v>
      </c>
      <c r="E1452" s="5">
        <v>-30111</v>
      </c>
      <c r="F1452" s="3" t="s">
        <v>1017</v>
      </c>
      <c r="G1452" s="3" t="s">
        <v>1018</v>
      </c>
      <c r="H1452" s="2" t="s">
        <v>21</v>
      </c>
      <c r="I1452" s="2" t="s">
        <v>3622</v>
      </c>
      <c r="J1452" s="3" t="str">
        <f>HYPERLINK("https://www.boe.es/gazeta/dias/1817/07/22/pdfs/GMD-1817-87.pdf#page=8","Abrir facsímil")</f>
        <v>Abrir facsímil</v>
      </c>
      <c r="K1452" s="3" t="s">
        <v>23</v>
      </c>
    </row>
    <row r="1453" spans="1:11" ht="42" customHeight="1">
      <c r="A1453" s="2" t="s">
        <v>3623</v>
      </c>
      <c r="B1453" s="2" t="s">
        <v>3624</v>
      </c>
      <c r="C1453" s="2" t="s">
        <v>43</v>
      </c>
      <c r="D1453" s="2" t="s">
        <v>44</v>
      </c>
      <c r="E1453" s="5">
        <v>-30188</v>
      </c>
      <c r="F1453" s="3" t="s">
        <v>177</v>
      </c>
      <c r="G1453" s="3" t="s">
        <v>39</v>
      </c>
      <c r="H1453" s="2" t="s">
        <v>21</v>
      </c>
      <c r="I1453" s="2" t="s">
        <v>3625</v>
      </c>
      <c r="J1453" s="3" t="str">
        <f>HYPERLINK("https://www.boe.es/gazeta/dias/1817/05/06/pdfs/GMD-1817-54.pdf#page=5","Abrir facsímil")</f>
        <v>Abrir facsímil</v>
      </c>
      <c r="K1453" s="3" t="s">
        <v>23</v>
      </c>
    </row>
    <row r="1454" spans="1:11" ht="42" customHeight="1">
      <c r="A1454" s="2" t="s">
        <v>3623</v>
      </c>
      <c r="B1454" s="2" t="s">
        <v>3624</v>
      </c>
      <c r="C1454" s="2" t="s">
        <v>17</v>
      </c>
      <c r="D1454" s="2" t="s">
        <v>18</v>
      </c>
      <c r="E1454" s="5">
        <v>-29983</v>
      </c>
      <c r="F1454" s="3" t="s">
        <v>148</v>
      </c>
      <c r="G1454" s="3" t="s">
        <v>57</v>
      </c>
      <c r="H1454" s="2" t="s">
        <v>21</v>
      </c>
      <c r="I1454" s="2" t="s">
        <v>3626</v>
      </c>
      <c r="J1454" s="3" t="str">
        <f>HYPERLINK("https://www.boe.es/gazeta/dias/1817/11/27/pdfs/GMD-1817-142.pdf#page=6","Abrir facsímil")</f>
        <v>Abrir facsímil</v>
      </c>
      <c r="K1454" s="3" t="s">
        <v>23</v>
      </c>
    </row>
    <row r="1455" spans="1:11" ht="42" customHeight="1">
      <c r="A1455" s="2" t="s">
        <v>3627</v>
      </c>
      <c r="B1455" s="2" t="s">
        <v>3628</v>
      </c>
      <c r="C1455" s="2" t="s">
        <v>36</v>
      </c>
      <c r="D1455" s="2" t="s">
        <v>37</v>
      </c>
      <c r="E1455" s="5">
        <v>-30296</v>
      </c>
      <c r="F1455" s="3" t="s">
        <v>357</v>
      </c>
      <c r="G1455" s="3" t="s">
        <v>112</v>
      </c>
      <c r="H1455" s="2" t="s">
        <v>21</v>
      </c>
      <c r="I1455" s="2" t="s">
        <v>3629</v>
      </c>
      <c r="J1455" s="3" t="str">
        <f>HYPERLINK("https://www.boe.es/gazeta/dias/1817/01/18/pdfs/GMD-1817-8.pdf#page=11","Abrir facsímil")</f>
        <v>Abrir facsímil</v>
      </c>
      <c r="K1455" s="3" t="s">
        <v>23</v>
      </c>
    </row>
    <row r="1456" spans="1:11" ht="42" customHeight="1">
      <c r="A1456" s="2" t="s">
        <v>3627</v>
      </c>
      <c r="B1456" s="2" t="s">
        <v>3628</v>
      </c>
      <c r="C1456" s="2" t="s">
        <v>36</v>
      </c>
      <c r="D1456" s="2" t="s">
        <v>37</v>
      </c>
      <c r="E1456" s="5">
        <v>-30279</v>
      </c>
      <c r="F1456" s="3" t="s">
        <v>1113</v>
      </c>
      <c r="G1456" s="3" t="s">
        <v>2268</v>
      </c>
      <c r="H1456" s="2" t="s">
        <v>21</v>
      </c>
      <c r="I1456" s="2" t="s">
        <v>3630</v>
      </c>
      <c r="J1456" s="3" t="str">
        <f>HYPERLINK("https://www.boe.es/gazeta/dias/1817/02/04/pdfs/GMD-1817-15.pdf#page=7","Abrir facsímil")</f>
        <v>Abrir facsímil</v>
      </c>
      <c r="K1456" s="3" t="s">
        <v>23</v>
      </c>
    </row>
    <row r="1457" spans="1:11" ht="42" customHeight="1">
      <c r="A1457" s="2" t="s">
        <v>3627</v>
      </c>
      <c r="B1457" s="2" t="s">
        <v>3628</v>
      </c>
      <c r="C1457" s="2" t="s">
        <v>36</v>
      </c>
      <c r="D1457" s="2" t="s">
        <v>37</v>
      </c>
      <c r="E1457" s="5">
        <v>-30244</v>
      </c>
      <c r="F1457" s="3" t="s">
        <v>1482</v>
      </c>
      <c r="G1457" s="3" t="s">
        <v>2272</v>
      </c>
      <c r="H1457" s="2" t="s">
        <v>21</v>
      </c>
      <c r="I1457" s="2" t="s">
        <v>3631</v>
      </c>
      <c r="J1457" s="3" t="str">
        <f>HYPERLINK("https://www.boe.es/gazeta/dias/1817/03/11/pdfs/GMD-1817-30.pdf#page=5","Abrir facsímil")</f>
        <v>Abrir facsímil</v>
      </c>
      <c r="K1457" s="3" t="s">
        <v>23</v>
      </c>
    </row>
    <row r="1458" spans="1:11" ht="42" customHeight="1">
      <c r="A1458" s="2" t="s">
        <v>3632</v>
      </c>
      <c r="B1458" s="2" t="s">
        <v>3633</v>
      </c>
      <c r="C1458" s="2" t="s">
        <v>17</v>
      </c>
      <c r="D1458" s="2" t="s">
        <v>18</v>
      </c>
      <c r="E1458" s="5">
        <v>-30289</v>
      </c>
      <c r="F1458" s="3" t="s">
        <v>193</v>
      </c>
      <c r="G1458" s="3" t="s">
        <v>20</v>
      </c>
      <c r="H1458" s="2" t="s">
        <v>21</v>
      </c>
      <c r="I1458" s="2" t="s">
        <v>3634</v>
      </c>
      <c r="J1458" s="3" t="str">
        <f>HYPERLINK("https://www.boe.es/gazeta/dias/1817/01/25/pdfs/GMD-1817-11.pdf#page=7","Abrir facsímil")</f>
        <v>Abrir facsímil</v>
      </c>
      <c r="K1458" s="3" t="s">
        <v>23</v>
      </c>
    </row>
    <row r="1459" spans="1:11" ht="42" customHeight="1">
      <c r="A1459" s="2" t="s">
        <v>3635</v>
      </c>
      <c r="B1459" s="2" t="s">
        <v>3635</v>
      </c>
      <c r="C1459" s="2" t="s">
        <v>510</v>
      </c>
      <c r="D1459" s="2" t="s">
        <v>44</v>
      </c>
      <c r="E1459" s="5">
        <v>-30268</v>
      </c>
      <c r="F1459" s="3" t="s">
        <v>1160</v>
      </c>
      <c r="G1459" s="3" t="s">
        <v>39</v>
      </c>
      <c r="H1459" s="2" t="s">
        <v>21</v>
      </c>
      <c r="I1459" s="2" t="s">
        <v>3636</v>
      </c>
      <c r="J1459" s="3" t="str">
        <f>HYPERLINK("https://www.boe.es/gazeta/dias/1817/02/15/pdfs/GMD-1817-20.pdf#page=5","Abrir facsímil")</f>
        <v>Abrir facsímil</v>
      </c>
      <c r="K1459" s="3" t="s">
        <v>23</v>
      </c>
    </row>
    <row r="1460" spans="1:11" ht="42" customHeight="1">
      <c r="A1460" s="2" t="s">
        <v>3635</v>
      </c>
      <c r="B1460" s="2" t="s">
        <v>3635</v>
      </c>
      <c r="C1460" s="2" t="s">
        <v>17</v>
      </c>
      <c r="D1460" s="2" t="s">
        <v>18</v>
      </c>
      <c r="E1460" s="5">
        <v>-30221</v>
      </c>
      <c r="F1460" s="3" t="s">
        <v>256</v>
      </c>
      <c r="G1460" s="3" t="s">
        <v>77</v>
      </c>
      <c r="H1460" s="2" t="s">
        <v>21</v>
      </c>
      <c r="I1460" s="2" t="s">
        <v>3637</v>
      </c>
      <c r="J1460" s="3" t="str">
        <f>HYPERLINK("https://www.boe.es/gazeta/dias/1817/04/03/pdfs/GMD-1817-40.pdf#page=8","Abrir facsímil")</f>
        <v>Abrir facsímil</v>
      </c>
      <c r="K1460" s="3" t="s">
        <v>23</v>
      </c>
    </row>
    <row r="1461" spans="1:11" ht="42" customHeight="1">
      <c r="A1461" s="2" t="s">
        <v>3635</v>
      </c>
      <c r="B1461" s="2" t="s">
        <v>3635</v>
      </c>
      <c r="C1461" s="2" t="s">
        <v>36</v>
      </c>
      <c r="D1461" s="2" t="s">
        <v>37</v>
      </c>
      <c r="E1461" s="5">
        <v>-30188</v>
      </c>
      <c r="F1461" s="3" t="s">
        <v>177</v>
      </c>
      <c r="G1461" s="3" t="s">
        <v>39</v>
      </c>
      <c r="H1461" s="2" t="s">
        <v>21</v>
      </c>
      <c r="I1461" s="2" t="s">
        <v>3638</v>
      </c>
      <c r="J1461" s="3" t="str">
        <f>HYPERLINK("https://www.boe.es/gazeta/dias/1817/05/06/pdfs/GMD-1817-54.pdf#page=5","Abrir facsímil")</f>
        <v>Abrir facsímil</v>
      </c>
      <c r="K1461" s="3" t="s">
        <v>23</v>
      </c>
    </row>
    <row r="1462" spans="1:11" ht="42" customHeight="1">
      <c r="A1462" s="2" t="s">
        <v>3635</v>
      </c>
      <c r="B1462" s="2" t="s">
        <v>3635</v>
      </c>
      <c r="C1462" s="2" t="s">
        <v>36</v>
      </c>
      <c r="D1462" s="2" t="s">
        <v>37</v>
      </c>
      <c r="E1462" s="5">
        <v>-30160</v>
      </c>
      <c r="F1462" s="3" t="s">
        <v>116</v>
      </c>
      <c r="G1462" s="3" t="s">
        <v>567</v>
      </c>
      <c r="H1462" s="2" t="s">
        <v>21</v>
      </c>
      <c r="I1462" s="2" t="s">
        <v>3639</v>
      </c>
      <c r="J1462" s="3" t="str">
        <f>HYPERLINK("https://www.boe.es/gazeta/dias/1817/06/03/pdfs/GMD-1817-66.pdf#page=6","Abrir facsímil")</f>
        <v>Abrir facsímil</v>
      </c>
      <c r="K1462" s="3" t="s">
        <v>23</v>
      </c>
    </row>
    <row r="1463" spans="1:11" ht="42" customHeight="1">
      <c r="A1463" s="2" t="s">
        <v>3635</v>
      </c>
      <c r="B1463" s="2" t="s">
        <v>3635</v>
      </c>
      <c r="C1463" s="2" t="s">
        <v>36</v>
      </c>
      <c r="D1463" s="2" t="s">
        <v>37</v>
      </c>
      <c r="E1463" s="5">
        <v>-30160</v>
      </c>
      <c r="F1463" s="3" t="s">
        <v>116</v>
      </c>
      <c r="G1463" s="3" t="s">
        <v>144</v>
      </c>
      <c r="H1463" s="2" t="s">
        <v>21</v>
      </c>
      <c r="I1463" s="2" t="s">
        <v>3640</v>
      </c>
      <c r="J1463" s="3" t="str">
        <f>HYPERLINK("https://www.boe.es/gazeta/dias/1817/06/03/pdfs/GMD-1817-66.pdf#page=4","Abrir facsímil")</f>
        <v>Abrir facsímil</v>
      </c>
      <c r="K1463" s="3" t="s">
        <v>23</v>
      </c>
    </row>
    <row r="1464" spans="1:11" ht="42" customHeight="1">
      <c r="A1464" s="2" t="s">
        <v>3635</v>
      </c>
      <c r="B1464" s="2" t="s">
        <v>3635</v>
      </c>
      <c r="C1464" s="2" t="s">
        <v>36</v>
      </c>
      <c r="D1464" s="2" t="s">
        <v>37</v>
      </c>
      <c r="E1464" s="5">
        <v>-30156</v>
      </c>
      <c r="F1464" s="3" t="s">
        <v>635</v>
      </c>
      <c r="G1464" s="3" t="s">
        <v>144</v>
      </c>
      <c r="H1464" s="2" t="s">
        <v>21</v>
      </c>
      <c r="I1464" s="2" t="s">
        <v>3641</v>
      </c>
      <c r="J1464" s="3" t="str">
        <f>HYPERLINK("https://www.boe.es/gazeta/dias/1817/06/07/pdfs/GMD-1817-68.pdf#page=4","Abrir facsímil")</f>
        <v>Abrir facsímil</v>
      </c>
      <c r="K1464" s="3" t="s">
        <v>23</v>
      </c>
    </row>
    <row r="1465" spans="1:11" ht="42" customHeight="1">
      <c r="A1465" s="2" t="s">
        <v>3635</v>
      </c>
      <c r="B1465" s="2" t="s">
        <v>3635</v>
      </c>
      <c r="C1465" s="2" t="s">
        <v>36</v>
      </c>
      <c r="D1465" s="2" t="s">
        <v>37</v>
      </c>
      <c r="E1465" s="5">
        <v>-30156</v>
      </c>
      <c r="F1465" s="3" t="s">
        <v>635</v>
      </c>
      <c r="G1465" s="3" t="s">
        <v>39</v>
      </c>
      <c r="H1465" s="2" t="s">
        <v>21</v>
      </c>
      <c r="I1465" s="2" t="s">
        <v>3642</v>
      </c>
      <c r="J1465" s="3" t="str">
        <f>HYPERLINK("https://www.boe.es/gazeta/dias/1817/06/07/pdfs/GMD-1817-68.pdf#page=5","Abrir facsímil")</f>
        <v>Abrir facsímil</v>
      </c>
      <c r="K1465" s="3" t="s">
        <v>23</v>
      </c>
    </row>
    <row r="1466" spans="1:11" ht="42" customHeight="1">
      <c r="A1466" s="2" t="s">
        <v>3635</v>
      </c>
      <c r="B1466" s="2" t="s">
        <v>3635</v>
      </c>
      <c r="C1466" s="2" t="s">
        <v>36</v>
      </c>
      <c r="D1466" s="2" t="s">
        <v>37</v>
      </c>
      <c r="E1466" s="5">
        <v>-30153</v>
      </c>
      <c r="F1466" s="3" t="s">
        <v>843</v>
      </c>
      <c r="G1466" s="3" t="s">
        <v>3643</v>
      </c>
      <c r="H1466" s="2" t="s">
        <v>21</v>
      </c>
      <c r="I1466" s="2" t="s">
        <v>3644</v>
      </c>
      <c r="J1466" s="3" t="str">
        <f>HYPERLINK("https://www.boe.es/gazeta/dias/1817/06/10/pdfs/GMD-1817-69.pdf#page=4","Abrir facsímil")</f>
        <v>Abrir facsímil</v>
      </c>
      <c r="K1466" s="3" t="s">
        <v>23</v>
      </c>
    </row>
    <row r="1467" spans="1:11" ht="42" customHeight="1">
      <c r="A1467" s="2" t="s">
        <v>3635</v>
      </c>
      <c r="B1467" s="2" t="s">
        <v>3635</v>
      </c>
      <c r="C1467" s="2" t="s">
        <v>36</v>
      </c>
      <c r="D1467" s="2" t="s">
        <v>37</v>
      </c>
      <c r="E1467" s="5">
        <v>-30153</v>
      </c>
      <c r="F1467" s="3" t="s">
        <v>843</v>
      </c>
      <c r="G1467" s="3" t="s">
        <v>39</v>
      </c>
      <c r="H1467" s="2" t="s">
        <v>21</v>
      </c>
      <c r="I1467" s="2" t="s">
        <v>3645</v>
      </c>
      <c r="J1467" s="3" t="str">
        <f>HYPERLINK("https://www.boe.es/gazeta/dias/1817/06/10/pdfs/GMD-1817-69.pdf#page=5","Abrir facsímil")</f>
        <v>Abrir facsímil</v>
      </c>
      <c r="K1467" s="3" t="s">
        <v>23</v>
      </c>
    </row>
    <row r="1468" spans="1:11" ht="42" customHeight="1">
      <c r="A1468" s="2" t="s">
        <v>3635</v>
      </c>
      <c r="B1468" s="2" t="s">
        <v>3635</v>
      </c>
      <c r="C1468" s="2" t="s">
        <v>17</v>
      </c>
      <c r="D1468" s="2" t="s">
        <v>18</v>
      </c>
      <c r="E1468" s="5">
        <v>-30048</v>
      </c>
      <c r="F1468" s="3" t="s">
        <v>573</v>
      </c>
      <c r="G1468" s="3" t="s">
        <v>77</v>
      </c>
      <c r="H1468" s="2" t="s">
        <v>21</v>
      </c>
      <c r="I1468" s="2" t="s">
        <v>3646</v>
      </c>
      <c r="J1468" s="3" t="str">
        <f>HYPERLINK("https://www.boe.es/gazeta/dias/1817/09/23/pdfs/GMD-1817-114.pdf#page=8","Abrir facsímil")</f>
        <v>Abrir facsímil</v>
      </c>
      <c r="K1468" s="3" t="s">
        <v>23</v>
      </c>
    </row>
    <row r="1469" spans="1:11" ht="42" customHeight="1">
      <c r="A1469" s="2" t="s">
        <v>3635</v>
      </c>
      <c r="B1469" s="2" t="s">
        <v>3635</v>
      </c>
      <c r="C1469" s="2" t="s">
        <v>43</v>
      </c>
      <c r="D1469" s="2" t="s">
        <v>44</v>
      </c>
      <c r="E1469" s="5">
        <v>-30046</v>
      </c>
      <c r="F1469" s="3" t="s">
        <v>214</v>
      </c>
      <c r="G1469" s="3" t="s">
        <v>275</v>
      </c>
      <c r="H1469" s="2" t="s">
        <v>21</v>
      </c>
      <c r="I1469" s="2" t="s">
        <v>3647</v>
      </c>
      <c r="J1469" s="3" t="str">
        <f>HYPERLINK("https://www.boe.es/gazeta/dias/1817/09/25/pdfs/GMD-1817-115.pdf#page=12","Abrir facsímil")</f>
        <v>Abrir facsímil</v>
      </c>
      <c r="K1469" s="3" t="s">
        <v>23</v>
      </c>
    </row>
    <row r="1470" spans="1:11" ht="42" customHeight="1">
      <c r="A1470" s="2" t="s">
        <v>3635</v>
      </c>
      <c r="B1470" s="2" t="s">
        <v>3635</v>
      </c>
      <c r="C1470" s="2" t="s">
        <v>36</v>
      </c>
      <c r="D1470" s="2" t="s">
        <v>37</v>
      </c>
      <c r="E1470" s="5">
        <v>-29981</v>
      </c>
      <c r="F1470" s="3" t="s">
        <v>111</v>
      </c>
      <c r="G1470" s="3" t="s">
        <v>144</v>
      </c>
      <c r="H1470" s="2" t="s">
        <v>21</v>
      </c>
      <c r="I1470" s="2" t="s">
        <v>3648</v>
      </c>
      <c r="J1470" s="3" t="str">
        <f>HYPERLINK("https://www.boe.es/gazeta/dias/1817/11/29/pdfs/GMD-1817-143.pdf#page=4","Abrir facsímil")</f>
        <v>Abrir facsímil</v>
      </c>
      <c r="K1470" s="3" t="s">
        <v>23</v>
      </c>
    </row>
    <row r="1471" spans="1:11" ht="42" customHeight="1">
      <c r="A1471" s="2" t="s">
        <v>3635</v>
      </c>
      <c r="B1471" s="2" t="s">
        <v>3635</v>
      </c>
      <c r="C1471" s="2" t="s">
        <v>17</v>
      </c>
      <c r="D1471" s="2" t="s">
        <v>18</v>
      </c>
      <c r="E1471" s="5">
        <v>-29976</v>
      </c>
      <c r="F1471" s="3" t="s">
        <v>81</v>
      </c>
      <c r="G1471" s="3" t="s">
        <v>82</v>
      </c>
      <c r="H1471" s="2" t="s">
        <v>21</v>
      </c>
      <c r="I1471" s="2" t="s">
        <v>3649</v>
      </c>
      <c r="J1471" s="3" t="str">
        <f>HYPERLINK("https://www.boe.es/gazeta/dias/1817/12/04/pdfs/GMD-1817-145.pdf#page=12","Abrir facsímil")</f>
        <v>Abrir facsímil</v>
      </c>
      <c r="K1471" s="3" t="s">
        <v>23</v>
      </c>
    </row>
    <row r="1472" spans="1:11" ht="42" customHeight="1">
      <c r="A1472" s="2" t="s">
        <v>3635</v>
      </c>
      <c r="B1472" s="2" t="s">
        <v>3635</v>
      </c>
      <c r="C1472" s="2" t="s">
        <v>36</v>
      </c>
      <c r="D1472" s="2" t="s">
        <v>37</v>
      </c>
      <c r="E1472" s="5">
        <v>-29960</v>
      </c>
      <c r="F1472" s="3" t="s">
        <v>657</v>
      </c>
      <c r="G1472" s="3" t="s">
        <v>887</v>
      </c>
      <c r="H1472" s="2" t="s">
        <v>21</v>
      </c>
      <c r="I1472" s="2" t="s">
        <v>3650</v>
      </c>
      <c r="J1472" s="3" t="str">
        <f>HYPERLINK("https://www.boe.es/gazeta/dias/1817/12/20/pdfs/GMD-1817-152.pdf#page=9","Abrir facsímil")</f>
        <v>Abrir facsímil</v>
      </c>
      <c r="K1472" s="3" t="s">
        <v>23</v>
      </c>
    </row>
    <row r="1473" spans="1:11" ht="42" customHeight="1">
      <c r="A1473" s="2" t="s">
        <v>3651</v>
      </c>
      <c r="B1473" s="2" t="s">
        <v>3652</v>
      </c>
      <c r="C1473" s="2" t="s">
        <v>36</v>
      </c>
      <c r="D1473" s="2" t="s">
        <v>37</v>
      </c>
      <c r="E1473" s="5">
        <v>-30200</v>
      </c>
      <c r="F1473" s="3" t="s">
        <v>725</v>
      </c>
      <c r="G1473" s="3" t="s">
        <v>57</v>
      </c>
      <c r="H1473" s="2" t="s">
        <v>21</v>
      </c>
      <c r="I1473" s="2" t="s">
        <v>3653</v>
      </c>
      <c r="J1473" s="3" t="str">
        <f>HYPERLINK("https://www.boe.es/gazeta/dias/1817/04/24/pdfs/GMD-1817-49.pdf#page=6","Abrir facsímil")</f>
        <v>Abrir facsímil</v>
      </c>
      <c r="K1473" s="3" t="s">
        <v>23</v>
      </c>
    </row>
    <row r="1474" spans="1:11" ht="42" customHeight="1">
      <c r="A1474" s="2" t="s">
        <v>3654</v>
      </c>
      <c r="B1474" s="2" t="s">
        <v>3655</v>
      </c>
      <c r="C1474" s="2" t="s">
        <v>49</v>
      </c>
      <c r="D1474" s="2" t="s">
        <v>44</v>
      </c>
      <c r="E1474" s="5">
        <v>-30286</v>
      </c>
      <c r="F1474" s="3" t="s">
        <v>354</v>
      </c>
      <c r="G1474" s="3" t="s">
        <v>77</v>
      </c>
      <c r="H1474" s="2" t="s">
        <v>21</v>
      </c>
      <c r="I1474" s="2" t="s">
        <v>3656</v>
      </c>
      <c r="J1474" s="3" t="str">
        <f>HYPERLINK("https://www.boe.es/gazeta/dias/1817/01/28/pdfs/GMD-1817-12.pdf#page=8","Abrir facsímil")</f>
        <v>Abrir facsímil</v>
      </c>
      <c r="K1474" s="3" t="s">
        <v>23</v>
      </c>
    </row>
    <row r="1475" spans="1:11" ht="42" customHeight="1">
      <c r="A1475" s="2" t="s">
        <v>3654</v>
      </c>
      <c r="B1475" s="2" t="s">
        <v>3655</v>
      </c>
      <c r="C1475" s="2" t="s">
        <v>55</v>
      </c>
      <c r="D1475" s="2" t="s">
        <v>44</v>
      </c>
      <c r="E1475" s="5">
        <v>-30081</v>
      </c>
      <c r="F1475" s="3" t="s">
        <v>133</v>
      </c>
      <c r="G1475" s="3" t="s">
        <v>82</v>
      </c>
      <c r="H1475" s="2" t="s">
        <v>21</v>
      </c>
      <c r="I1475" s="2" t="s">
        <v>3657</v>
      </c>
      <c r="J1475" s="3" t="str">
        <f>HYPERLINK("https://www.boe.es/gazeta/dias/1817/08/21/pdfs/GMD-1817-100.pdf#page=12","Abrir facsímil")</f>
        <v>Abrir facsímil</v>
      </c>
      <c r="K1475" s="3" t="s">
        <v>23</v>
      </c>
    </row>
    <row r="1476" spans="1:11" ht="42" customHeight="1">
      <c r="A1476" s="2" t="s">
        <v>3658</v>
      </c>
      <c r="B1476" s="2" t="s">
        <v>3659</v>
      </c>
      <c r="C1476" s="2" t="s">
        <v>55</v>
      </c>
      <c r="D1476" s="2" t="s">
        <v>44</v>
      </c>
      <c r="E1476" s="5">
        <v>-29992</v>
      </c>
      <c r="F1476" s="3" t="s">
        <v>50</v>
      </c>
      <c r="G1476" s="3" t="s">
        <v>51</v>
      </c>
      <c r="H1476" s="2" t="s">
        <v>21</v>
      </c>
      <c r="I1476" s="2" t="s">
        <v>3660</v>
      </c>
      <c r="J1476" s="3" t="str">
        <f>HYPERLINK("https://www.boe.es/gazeta/dias/1817/11/18/pdfs/GMD-1817-138.pdf#page=8","Abrir facsímil")</f>
        <v>Abrir facsímil</v>
      </c>
      <c r="K1476" s="3" t="s">
        <v>23</v>
      </c>
    </row>
    <row r="1477" spans="1:11" ht="42" customHeight="1">
      <c r="A1477" s="2" t="s">
        <v>3661</v>
      </c>
      <c r="B1477" s="2" t="s">
        <v>3662</v>
      </c>
      <c r="C1477" s="2" t="s">
        <v>36</v>
      </c>
      <c r="D1477" s="2" t="s">
        <v>37</v>
      </c>
      <c r="E1477" s="5">
        <v>-30156</v>
      </c>
      <c r="F1477" s="3" t="s">
        <v>635</v>
      </c>
      <c r="G1477" s="3" t="s">
        <v>144</v>
      </c>
      <c r="H1477" s="2" t="s">
        <v>21</v>
      </c>
      <c r="I1477" s="2" t="s">
        <v>3663</v>
      </c>
      <c r="J1477" s="3" t="str">
        <f>HYPERLINK("https://www.boe.es/gazeta/dias/1817/06/07/pdfs/GMD-1817-68.pdf#page=4","Abrir facsímil")</f>
        <v>Abrir facsímil</v>
      </c>
      <c r="K1477" s="3" t="s">
        <v>23</v>
      </c>
    </row>
    <row r="1478" spans="1:11" ht="42" customHeight="1">
      <c r="A1478" s="2" t="s">
        <v>3661</v>
      </c>
      <c r="B1478" s="2" t="s">
        <v>3662</v>
      </c>
      <c r="C1478" s="2" t="s">
        <v>36</v>
      </c>
      <c r="D1478" s="2" t="s">
        <v>37</v>
      </c>
      <c r="E1478" s="5">
        <v>-30011</v>
      </c>
      <c r="F1478" s="3" t="s">
        <v>313</v>
      </c>
      <c r="G1478" s="3" t="s">
        <v>551</v>
      </c>
      <c r="H1478" s="2" t="s">
        <v>21</v>
      </c>
      <c r="I1478" s="2" t="s">
        <v>3664</v>
      </c>
      <c r="J1478" s="3" t="str">
        <f>HYPERLINK("https://www.boe.es/gazeta/dias/1817/10/30/pdfs/GMD-1817-130.pdf#page=3","Abrir facsímil")</f>
        <v>Abrir facsímil</v>
      </c>
      <c r="K1478" s="3" t="s">
        <v>23</v>
      </c>
    </row>
    <row r="1479" spans="1:11" ht="42" customHeight="1">
      <c r="A1479" s="2" t="s">
        <v>3665</v>
      </c>
      <c r="B1479" s="2" t="s">
        <v>3666</v>
      </c>
      <c r="C1479" s="2" t="s">
        <v>43</v>
      </c>
      <c r="D1479" s="2" t="s">
        <v>44</v>
      </c>
      <c r="E1479" s="5">
        <v>-30053</v>
      </c>
      <c r="F1479" s="3" t="s">
        <v>129</v>
      </c>
      <c r="G1479" s="3" t="s">
        <v>3667</v>
      </c>
      <c r="H1479" s="2" t="s">
        <v>21</v>
      </c>
      <c r="I1479" s="2" t="s">
        <v>3668</v>
      </c>
      <c r="J1479" s="3" t="str">
        <f>HYPERLINK("https://www.boe.es/gazeta/dias/1817/09/18/pdfs/GMD-1817-112.pdf#page=6","Abrir facsímil")</f>
        <v>Abrir facsímil</v>
      </c>
      <c r="K1479" s="3" t="s">
        <v>23</v>
      </c>
    </row>
    <row r="1480" spans="1:11" ht="42" customHeight="1">
      <c r="A1480" s="2" t="s">
        <v>3669</v>
      </c>
      <c r="B1480" s="2" t="s">
        <v>3670</v>
      </c>
      <c r="C1480" s="2" t="s">
        <v>36</v>
      </c>
      <c r="D1480" s="2" t="s">
        <v>37</v>
      </c>
      <c r="E1480" s="5">
        <v>-30212</v>
      </c>
      <c r="F1480" s="3" t="s">
        <v>745</v>
      </c>
      <c r="G1480" s="3" t="s">
        <v>57</v>
      </c>
      <c r="H1480" s="2" t="s">
        <v>21</v>
      </c>
      <c r="I1480" s="2" t="s">
        <v>3671</v>
      </c>
      <c r="J1480" s="3" t="str">
        <f>HYPERLINK("https://www.boe.es/gazeta/dias/1817/04/12/pdfs/GMD-1817-44.pdf#page=6","Abrir facsímil")</f>
        <v>Abrir facsímil</v>
      </c>
      <c r="K1480" s="3" t="s">
        <v>23</v>
      </c>
    </row>
    <row r="1481" spans="1:11" ht="42" customHeight="1">
      <c r="A1481" s="2" t="s">
        <v>3672</v>
      </c>
      <c r="B1481" s="2" t="s">
        <v>3672</v>
      </c>
      <c r="C1481" s="2" t="s">
        <v>36</v>
      </c>
      <c r="D1481" s="2" t="s">
        <v>37</v>
      </c>
      <c r="E1481" s="5">
        <v>-30184</v>
      </c>
      <c r="F1481" s="3" t="s">
        <v>423</v>
      </c>
      <c r="G1481" s="3" t="s">
        <v>551</v>
      </c>
      <c r="H1481" s="2" t="s">
        <v>21</v>
      </c>
      <c r="I1481" s="2" t="s">
        <v>3673</v>
      </c>
      <c r="J1481" s="3" t="str">
        <f>HYPERLINK("https://www.boe.es/gazeta/dias/1817/05/10/pdfs/GMD-1817-56.pdf#page=3","Abrir facsímil")</f>
        <v>Abrir facsímil</v>
      </c>
      <c r="K1481" s="3" t="s">
        <v>23</v>
      </c>
    </row>
    <row r="1482" spans="1:11" ht="42" customHeight="1">
      <c r="A1482" s="2" t="s">
        <v>3674</v>
      </c>
      <c r="B1482" s="2" t="s">
        <v>3675</v>
      </c>
      <c r="C1482" s="2" t="s">
        <v>36</v>
      </c>
      <c r="D1482" s="2" t="s">
        <v>37</v>
      </c>
      <c r="E1482" s="5">
        <v>-30312</v>
      </c>
      <c r="F1482" s="3" t="s">
        <v>86</v>
      </c>
      <c r="G1482" s="3" t="s">
        <v>1640</v>
      </c>
      <c r="H1482" s="2" t="s">
        <v>21</v>
      </c>
      <c r="I1482" s="2" t="s">
        <v>3676</v>
      </c>
      <c r="J1482" s="3" t="str">
        <f>HYPERLINK("https://www.boe.es/gazeta/dias/1817/01/02/pdfs/GMD-1817-1.pdf#page=6","Abrir facsímil")</f>
        <v>Abrir facsímil</v>
      </c>
      <c r="K1482" s="3" t="s">
        <v>23</v>
      </c>
    </row>
    <row r="1483" spans="1:11" ht="42" customHeight="1">
      <c r="A1483" s="2" t="s">
        <v>3677</v>
      </c>
      <c r="B1483" s="2" t="s">
        <v>3678</v>
      </c>
      <c r="C1483" s="2" t="s">
        <v>138</v>
      </c>
      <c r="D1483" s="2" t="s">
        <v>44</v>
      </c>
      <c r="E1483" s="5">
        <v>-30065</v>
      </c>
      <c r="F1483" s="3" t="s">
        <v>201</v>
      </c>
      <c r="G1483" s="3" t="s">
        <v>20</v>
      </c>
      <c r="H1483" s="2" t="s">
        <v>27</v>
      </c>
      <c r="I1483" s="2" t="s">
        <v>3679</v>
      </c>
      <c r="J1483" s="3" t="str">
        <f>HYPERLINK("https://www.boe.es/gazeta/dias/1817/09/06/pdfs/GMD-1817-107.pdf#page=7","Abrir facsímil")</f>
        <v>Abrir facsímil</v>
      </c>
      <c r="K1483" s="3" t="s">
        <v>29</v>
      </c>
    </row>
    <row r="1484" spans="1:11" ht="42" customHeight="1">
      <c r="A1484" s="2" t="s">
        <v>3680</v>
      </c>
      <c r="B1484" s="2" t="s">
        <v>3681</v>
      </c>
      <c r="C1484" s="2" t="s">
        <v>43</v>
      </c>
      <c r="D1484" s="2" t="s">
        <v>44</v>
      </c>
      <c r="E1484" s="5">
        <v>-30074</v>
      </c>
      <c r="F1484" s="3" t="s">
        <v>368</v>
      </c>
      <c r="G1484" s="3" t="s">
        <v>144</v>
      </c>
      <c r="H1484" s="2" t="s">
        <v>21</v>
      </c>
      <c r="I1484" s="2" t="s">
        <v>3682</v>
      </c>
      <c r="J1484" s="3" t="str">
        <f>HYPERLINK("https://www.boe.es/gazeta/dias/1817/08/28/pdfs/GMD-1817-103.pdf#page=4","Abrir facsímil")</f>
        <v>Abrir facsímil</v>
      </c>
      <c r="K1484" s="3" t="s">
        <v>23</v>
      </c>
    </row>
    <row r="1485" spans="1:11" ht="42" customHeight="1">
      <c r="A1485" s="2" t="s">
        <v>3680</v>
      </c>
      <c r="B1485" s="2" t="s">
        <v>3681</v>
      </c>
      <c r="C1485" s="2" t="s">
        <v>43</v>
      </c>
      <c r="D1485" s="2" t="s">
        <v>44</v>
      </c>
      <c r="E1485" s="5">
        <v>-30006</v>
      </c>
      <c r="F1485" s="3" t="s">
        <v>210</v>
      </c>
      <c r="G1485" s="3" t="s">
        <v>3683</v>
      </c>
      <c r="H1485" s="2" t="s">
        <v>21</v>
      </c>
      <c r="I1485" s="2" t="s">
        <v>3684</v>
      </c>
      <c r="J1485" s="3" t="str">
        <f>HYPERLINK("https://www.boe.es/gazeta/dias/1817/11/04/pdfs/GMD-1817-132.pdf#page=6","Abrir facsímil")</f>
        <v>Abrir facsímil</v>
      </c>
      <c r="K1485" s="3" t="s">
        <v>23</v>
      </c>
    </row>
    <row r="1486" spans="1:11" ht="42" customHeight="1">
      <c r="A1486" s="2" t="s">
        <v>3685</v>
      </c>
      <c r="B1486" s="2" t="s">
        <v>3686</v>
      </c>
      <c r="C1486" s="2" t="s">
        <v>55</v>
      </c>
      <c r="D1486" s="2" t="s">
        <v>44</v>
      </c>
      <c r="E1486" s="5">
        <v>-29953</v>
      </c>
      <c r="F1486" s="3" t="s">
        <v>793</v>
      </c>
      <c r="G1486" s="3" t="s">
        <v>39</v>
      </c>
      <c r="H1486" s="2" t="s">
        <v>21</v>
      </c>
      <c r="I1486" s="2" t="s">
        <v>3687</v>
      </c>
      <c r="J1486" s="3" t="str">
        <f>HYPERLINK("https://www.boe.es/gazeta/dias/1817/12/27/pdfs/GMD-1817-155.pdf#page=5","Abrir facsímil")</f>
        <v>Abrir facsímil</v>
      </c>
      <c r="K1486" s="3" t="s">
        <v>23</v>
      </c>
    </row>
    <row r="1487" spans="1:11" ht="42" customHeight="1">
      <c r="A1487" s="2" t="s">
        <v>3688</v>
      </c>
      <c r="B1487" s="2" t="s">
        <v>3689</v>
      </c>
      <c r="C1487" s="2" t="s">
        <v>17</v>
      </c>
      <c r="D1487" s="2" t="s">
        <v>18</v>
      </c>
      <c r="E1487" s="5">
        <v>-30249</v>
      </c>
      <c r="F1487" s="3" t="s">
        <v>120</v>
      </c>
      <c r="G1487" s="3" t="s">
        <v>39</v>
      </c>
      <c r="H1487" s="2" t="s">
        <v>21</v>
      </c>
      <c r="I1487" s="2" t="s">
        <v>3690</v>
      </c>
      <c r="J1487" s="3" t="str">
        <f>HYPERLINK("https://www.boe.es/gazeta/dias/1817/03/06/pdfs/GMD-1817-28.pdf#page=5","Abrir facsímil")</f>
        <v>Abrir facsímil</v>
      </c>
      <c r="K1487" s="3" t="s">
        <v>23</v>
      </c>
    </row>
    <row r="1488" spans="1:11" ht="42" customHeight="1">
      <c r="A1488" s="2" t="s">
        <v>3691</v>
      </c>
      <c r="B1488" s="2" t="s">
        <v>3692</v>
      </c>
      <c r="C1488" s="2" t="s">
        <v>43</v>
      </c>
      <c r="D1488" s="2" t="s">
        <v>44</v>
      </c>
      <c r="E1488" s="5">
        <v>-30261</v>
      </c>
      <c r="F1488" s="3" t="s">
        <v>226</v>
      </c>
      <c r="G1488" s="3" t="s">
        <v>39</v>
      </c>
      <c r="H1488" s="2" t="s">
        <v>21</v>
      </c>
      <c r="I1488" s="2" t="s">
        <v>3693</v>
      </c>
      <c r="J1488" s="3" t="str">
        <f>HYPERLINK("https://www.boe.es/gazeta/dias/1817/02/22/pdfs/GMD-1817-23.pdf#page=5","Abrir facsímil")</f>
        <v>Abrir facsímil</v>
      </c>
      <c r="K1488" s="3" t="s">
        <v>23</v>
      </c>
    </row>
    <row r="1489" spans="1:11" ht="42" customHeight="1">
      <c r="A1489" s="2" t="s">
        <v>3691</v>
      </c>
      <c r="B1489" s="2" t="s">
        <v>3692</v>
      </c>
      <c r="C1489" s="2" t="s">
        <v>17</v>
      </c>
      <c r="D1489" s="2" t="s">
        <v>18</v>
      </c>
      <c r="E1489" s="5">
        <v>-30137</v>
      </c>
      <c r="F1489" s="3" t="s">
        <v>935</v>
      </c>
      <c r="G1489" s="3" t="s">
        <v>20</v>
      </c>
      <c r="H1489" s="2" t="s">
        <v>21</v>
      </c>
      <c r="I1489" s="2" t="s">
        <v>3694</v>
      </c>
      <c r="J1489" s="3" t="str">
        <f>HYPERLINK("https://www.boe.es/gazeta/dias/1817/06/26/pdfs/GMD-1817-76.pdf#page=7","Abrir facsímil")</f>
        <v>Abrir facsímil</v>
      </c>
      <c r="K1489" s="3" t="s">
        <v>23</v>
      </c>
    </row>
    <row r="1490" spans="1:11" ht="42" customHeight="1">
      <c r="A1490" s="2" t="s">
        <v>3695</v>
      </c>
      <c r="B1490" s="2" t="s">
        <v>3696</v>
      </c>
      <c r="C1490" s="2" t="s">
        <v>1325</v>
      </c>
      <c r="D1490" s="2" t="s">
        <v>18</v>
      </c>
      <c r="E1490" s="5">
        <v>-30060</v>
      </c>
      <c r="F1490" s="3" t="s">
        <v>446</v>
      </c>
      <c r="G1490" s="3" t="s">
        <v>20</v>
      </c>
      <c r="H1490" s="2" t="s">
        <v>21</v>
      </c>
      <c r="I1490" s="2" t="s">
        <v>3697</v>
      </c>
      <c r="J1490" s="3" t="str">
        <f>HYPERLINK("https://www.boe.es/gazeta/dias/1817/09/11/pdfs/GMD-1817-109.pdf#page=7","Abrir facsímil")</f>
        <v>Abrir facsímil</v>
      </c>
      <c r="K1490" s="3" t="s">
        <v>23</v>
      </c>
    </row>
    <row r="1491" spans="1:11" ht="42" customHeight="1">
      <c r="A1491" s="2" t="s">
        <v>3698</v>
      </c>
      <c r="B1491" s="2" t="s">
        <v>3699</v>
      </c>
      <c r="C1491" s="2" t="s">
        <v>36</v>
      </c>
      <c r="D1491" s="2" t="s">
        <v>37</v>
      </c>
      <c r="E1491" s="5">
        <v>-30151</v>
      </c>
      <c r="F1491" s="3" t="s">
        <v>1422</v>
      </c>
      <c r="G1491" s="3" t="s">
        <v>39</v>
      </c>
      <c r="H1491" s="2" t="s">
        <v>21</v>
      </c>
      <c r="I1491" s="2" t="s">
        <v>3700</v>
      </c>
      <c r="J1491" s="3" t="str">
        <f>HYPERLINK("https://www.boe.es/gazeta/dias/1817/06/12/pdfs/GMD-1817-70.pdf#page=5","Abrir facsímil")</f>
        <v>Abrir facsímil</v>
      </c>
      <c r="K1491" s="3" t="s">
        <v>23</v>
      </c>
    </row>
    <row r="1492" spans="1:11" ht="42" customHeight="1">
      <c r="A1492" s="2" t="s">
        <v>3701</v>
      </c>
      <c r="B1492" s="2" t="s">
        <v>3702</v>
      </c>
      <c r="C1492" s="2" t="s">
        <v>17</v>
      </c>
      <c r="D1492" s="2" t="s">
        <v>18</v>
      </c>
      <c r="E1492" s="5">
        <v>-30114</v>
      </c>
      <c r="F1492" s="3" t="s">
        <v>500</v>
      </c>
      <c r="G1492" s="3" t="s">
        <v>77</v>
      </c>
      <c r="H1492" s="2" t="s">
        <v>27</v>
      </c>
      <c r="I1492" s="2" t="s">
        <v>3703</v>
      </c>
      <c r="J1492" s="3" t="str">
        <f>HYPERLINK("https://www.boe.es/gazeta/dias/1817/07/19/pdfs/GMD-1817-86.pdf#page=8","Abrir facsímil")</f>
        <v>Abrir facsímil</v>
      </c>
      <c r="K1492" s="3" t="s">
        <v>29</v>
      </c>
    </row>
    <row r="1493" spans="1:11" ht="42" customHeight="1">
      <c r="A1493" s="2" t="s">
        <v>3704</v>
      </c>
      <c r="B1493" s="2" t="s">
        <v>3705</v>
      </c>
      <c r="C1493" s="2" t="s">
        <v>36</v>
      </c>
      <c r="D1493" s="2" t="s">
        <v>37</v>
      </c>
      <c r="E1493" s="5">
        <v>-30205</v>
      </c>
      <c r="F1493" s="3" t="s">
        <v>139</v>
      </c>
      <c r="G1493" s="3" t="s">
        <v>77</v>
      </c>
      <c r="H1493" s="2" t="s">
        <v>21</v>
      </c>
      <c r="I1493" s="2" t="s">
        <v>3706</v>
      </c>
      <c r="J1493" s="3" t="str">
        <f>HYPERLINK("https://www.boe.es/gazeta/dias/1817/04/19/pdfs/GMD-1817-47.pdf#page=8","Abrir facsímil")</f>
        <v>Abrir facsímil</v>
      </c>
      <c r="K1493" s="3" t="s">
        <v>23</v>
      </c>
    </row>
    <row r="1494" spans="1:11" ht="42" customHeight="1">
      <c r="A1494" s="2" t="s">
        <v>3707</v>
      </c>
      <c r="B1494" s="2" t="s">
        <v>3708</v>
      </c>
      <c r="C1494" s="2" t="s">
        <v>17</v>
      </c>
      <c r="D1494" s="2" t="s">
        <v>18</v>
      </c>
      <c r="E1494" s="5">
        <v>-30037</v>
      </c>
      <c r="F1494" s="3" t="s">
        <v>453</v>
      </c>
      <c r="G1494" s="3" t="s">
        <v>1897</v>
      </c>
      <c r="H1494" s="2" t="s">
        <v>21</v>
      </c>
      <c r="I1494" s="2" t="s">
        <v>3709</v>
      </c>
      <c r="J1494" s="3" t="str">
        <f>HYPERLINK("https://www.boe.es/gazeta/dias/1817/10/04/pdfs/GMD-1817-119.pdf#page=4","Abrir facsímil")</f>
        <v>Abrir facsímil</v>
      </c>
      <c r="K1494" s="3" t="s">
        <v>23</v>
      </c>
    </row>
    <row r="1495" spans="1:11" ht="42" customHeight="1">
      <c r="A1495" s="2" t="s">
        <v>3710</v>
      </c>
      <c r="B1495" s="2" t="s">
        <v>3710</v>
      </c>
      <c r="C1495" s="2" t="s">
        <v>36</v>
      </c>
      <c r="D1495" s="2" t="s">
        <v>37</v>
      </c>
      <c r="E1495" s="5">
        <v>-30034</v>
      </c>
      <c r="F1495" s="3" t="s">
        <v>270</v>
      </c>
      <c r="G1495" s="3" t="s">
        <v>551</v>
      </c>
      <c r="H1495" s="2" t="s">
        <v>21</v>
      </c>
      <c r="I1495" s="2" t="s">
        <v>3711</v>
      </c>
      <c r="J1495" s="3" t="str">
        <f>HYPERLINK("https://www.boe.es/gazeta/dias/1817/10/07/pdfs/GMD-1817-120.pdf#page=3","Abrir facsímil")</f>
        <v>Abrir facsímil</v>
      </c>
      <c r="K1495" s="3" t="s">
        <v>23</v>
      </c>
    </row>
    <row r="1496" spans="1:11" ht="42" customHeight="1">
      <c r="A1496" s="2" t="s">
        <v>3712</v>
      </c>
      <c r="B1496" s="2" t="s">
        <v>3713</v>
      </c>
      <c r="C1496" s="2" t="s">
        <v>43</v>
      </c>
      <c r="D1496" s="2" t="s">
        <v>44</v>
      </c>
      <c r="E1496" s="5">
        <v>-30072</v>
      </c>
      <c r="F1496" s="3" t="s">
        <v>442</v>
      </c>
      <c r="G1496" s="3" t="s">
        <v>1767</v>
      </c>
      <c r="H1496" s="2" t="s">
        <v>21</v>
      </c>
      <c r="I1496" s="2" t="s">
        <v>3714</v>
      </c>
      <c r="J1496" s="3" t="str">
        <f>HYPERLINK("https://www.boe.es/gazeta/dias/1817/08/30/pdfs/GMD-1817-104.pdf#page=8","Abrir facsímil")</f>
        <v>Abrir facsímil</v>
      </c>
      <c r="K1496" s="3" t="s">
        <v>23</v>
      </c>
    </row>
    <row r="1497" spans="1:11" ht="42" customHeight="1">
      <c r="A1497" s="2" t="s">
        <v>3715</v>
      </c>
      <c r="B1497" s="2" t="s">
        <v>3716</v>
      </c>
      <c r="C1497" s="2" t="s">
        <v>43</v>
      </c>
      <c r="D1497" s="2" t="s">
        <v>44</v>
      </c>
      <c r="E1497" s="5">
        <v>-30013</v>
      </c>
      <c r="F1497" s="3" t="s">
        <v>464</v>
      </c>
      <c r="G1497" s="3" t="s">
        <v>551</v>
      </c>
      <c r="H1497" s="2" t="s">
        <v>27</v>
      </c>
      <c r="I1497" s="2" t="s">
        <v>3717</v>
      </c>
      <c r="J1497" s="3" t="str">
        <f>HYPERLINK("https://www.boe.es/gazeta/dias/1817/10/28/pdfs/GMD-1817-129.pdf#page=3","Abrir facsímil")</f>
        <v>Abrir facsímil</v>
      </c>
      <c r="K1497" s="3" t="s">
        <v>29</v>
      </c>
    </row>
    <row r="1498" spans="1:11" ht="42" customHeight="1">
      <c r="A1498" s="2" t="s">
        <v>3718</v>
      </c>
      <c r="B1498" s="2" t="s">
        <v>3718</v>
      </c>
      <c r="C1498" s="2" t="s">
        <v>17</v>
      </c>
      <c r="D1498" s="2" t="s">
        <v>18</v>
      </c>
      <c r="E1498" s="5">
        <v>-30151</v>
      </c>
      <c r="F1498" s="3" t="s">
        <v>1422</v>
      </c>
      <c r="G1498" s="3" t="s">
        <v>20</v>
      </c>
      <c r="H1498" s="2" t="s">
        <v>21</v>
      </c>
      <c r="I1498" s="2" t="s">
        <v>3719</v>
      </c>
      <c r="J1498" s="3" t="str">
        <f>HYPERLINK("https://www.boe.es/gazeta/dias/1817/06/12/pdfs/GMD-1817-70.pdf#page=7","Abrir facsímil")</f>
        <v>Abrir facsímil</v>
      </c>
      <c r="K1498" s="3" t="s">
        <v>23</v>
      </c>
    </row>
    <row r="1499" spans="1:11" ht="42" customHeight="1">
      <c r="A1499" s="2" t="s">
        <v>3720</v>
      </c>
      <c r="B1499" s="2" t="s">
        <v>3721</v>
      </c>
      <c r="C1499" s="2" t="s">
        <v>36</v>
      </c>
      <c r="D1499" s="2" t="s">
        <v>37</v>
      </c>
      <c r="E1499" s="5">
        <v>-30104</v>
      </c>
      <c r="F1499" s="3" t="s">
        <v>856</v>
      </c>
      <c r="G1499" s="3" t="s">
        <v>57</v>
      </c>
      <c r="H1499" s="2" t="s">
        <v>21</v>
      </c>
      <c r="I1499" s="2" t="s">
        <v>3722</v>
      </c>
      <c r="J1499" s="3" t="str">
        <f>HYPERLINK("https://www.boe.es/gazeta/dias/1817/07/29/pdfs/GMD-1817-90.pdf#page=6","Abrir facsímil")</f>
        <v>Abrir facsímil</v>
      </c>
      <c r="K1499" s="3" t="s">
        <v>23</v>
      </c>
    </row>
    <row r="1500" spans="1:11" ht="42" customHeight="1">
      <c r="A1500" s="2" t="s">
        <v>3723</v>
      </c>
      <c r="B1500" s="2" t="s">
        <v>3724</v>
      </c>
      <c r="C1500" s="2" t="s">
        <v>43</v>
      </c>
      <c r="D1500" s="2" t="s">
        <v>44</v>
      </c>
      <c r="E1500" s="5">
        <v>-30013</v>
      </c>
      <c r="F1500" s="3" t="s">
        <v>464</v>
      </c>
      <c r="G1500" s="3" t="s">
        <v>39</v>
      </c>
      <c r="H1500" s="2" t="s">
        <v>21</v>
      </c>
      <c r="I1500" s="2" t="s">
        <v>3725</v>
      </c>
      <c r="J1500" s="3" t="str">
        <f>HYPERLINK("https://www.boe.es/gazeta/dias/1817/10/28/pdfs/GMD-1817-129.pdf#page=5","Abrir facsímil")</f>
        <v>Abrir facsímil</v>
      </c>
      <c r="K1500" s="3" t="s">
        <v>23</v>
      </c>
    </row>
    <row r="1501" spans="1:11" ht="42" customHeight="1">
      <c r="A1501" s="2" t="s">
        <v>3726</v>
      </c>
      <c r="B1501" s="2" t="s">
        <v>3727</v>
      </c>
      <c r="C1501" s="2" t="s">
        <v>36</v>
      </c>
      <c r="D1501" s="2" t="s">
        <v>37</v>
      </c>
      <c r="E1501" s="5">
        <v>-30235</v>
      </c>
      <c r="F1501" s="3" t="s">
        <v>398</v>
      </c>
      <c r="G1501" s="3" t="s">
        <v>20</v>
      </c>
      <c r="H1501" s="2" t="s">
        <v>21</v>
      </c>
      <c r="I1501" s="2" t="s">
        <v>3728</v>
      </c>
      <c r="J1501" s="3" t="str">
        <f>HYPERLINK("https://www.boe.es/gazeta/dias/1817/03/20/pdfs/GMD-1817-34.pdf#page=7","Abrir facsímil")</f>
        <v>Abrir facsímil</v>
      </c>
      <c r="K1501" s="3" t="s">
        <v>23</v>
      </c>
    </row>
    <row r="1502" spans="1:11" ht="42" customHeight="1">
      <c r="A1502" s="2" t="s">
        <v>3729</v>
      </c>
      <c r="B1502" s="2" t="s">
        <v>3730</v>
      </c>
      <c r="C1502" s="2" t="s">
        <v>36</v>
      </c>
      <c r="D1502" s="2" t="s">
        <v>37</v>
      </c>
      <c r="E1502" s="5">
        <v>-30205</v>
      </c>
      <c r="F1502" s="3" t="s">
        <v>139</v>
      </c>
      <c r="G1502" s="3" t="s">
        <v>20</v>
      </c>
      <c r="H1502" s="2" t="s">
        <v>21</v>
      </c>
      <c r="I1502" s="2" t="s">
        <v>3731</v>
      </c>
      <c r="J1502" s="3" t="str">
        <f>HYPERLINK("https://www.boe.es/gazeta/dias/1817/04/19/pdfs/GMD-1817-47.pdf#page=7","Abrir facsímil")</f>
        <v>Abrir facsímil</v>
      </c>
      <c r="K1502" s="3" t="s">
        <v>23</v>
      </c>
    </row>
    <row r="1503" spans="1:11" ht="42" customHeight="1">
      <c r="A1503" s="2" t="s">
        <v>3732</v>
      </c>
      <c r="B1503" s="2" t="s">
        <v>3733</v>
      </c>
      <c r="C1503" s="2" t="s">
        <v>43</v>
      </c>
      <c r="D1503" s="2" t="s">
        <v>44</v>
      </c>
      <c r="E1503" s="5">
        <v>-30079</v>
      </c>
      <c r="F1503" s="3" t="s">
        <v>45</v>
      </c>
      <c r="G1503" s="3" t="s">
        <v>39</v>
      </c>
      <c r="H1503" s="2" t="s">
        <v>21</v>
      </c>
      <c r="I1503" s="2" t="s">
        <v>3734</v>
      </c>
      <c r="J1503" s="3" t="str">
        <f>HYPERLINK("https://www.boe.es/gazeta/dias/1817/08/23/pdfs/GMD-1817-101.pdf#page=5","Abrir facsímil")</f>
        <v>Abrir facsímil</v>
      </c>
      <c r="K1503" s="3" t="s">
        <v>23</v>
      </c>
    </row>
    <row r="1504" spans="1:11" ht="42" customHeight="1">
      <c r="A1504" s="2" t="s">
        <v>3735</v>
      </c>
      <c r="B1504" s="2" t="s">
        <v>3736</v>
      </c>
      <c r="C1504" s="2" t="s">
        <v>43</v>
      </c>
      <c r="D1504" s="2" t="s">
        <v>44</v>
      </c>
      <c r="E1504" s="5">
        <v>-30179</v>
      </c>
      <c r="F1504" s="3" t="s">
        <v>391</v>
      </c>
      <c r="G1504" s="3" t="s">
        <v>20</v>
      </c>
      <c r="H1504" s="2" t="s">
        <v>21</v>
      </c>
      <c r="I1504" s="2" t="s">
        <v>3737</v>
      </c>
      <c r="J1504" s="3" t="str">
        <f>HYPERLINK("https://www.boe.es/gazeta/dias/1817/05/15/pdfs/GMD-1817-58.pdf#page=7","Abrir facsímil")</f>
        <v>Abrir facsímil</v>
      </c>
      <c r="K1504" s="3" t="s">
        <v>23</v>
      </c>
    </row>
    <row r="1505" spans="1:11" ht="42" customHeight="1">
      <c r="A1505" s="2" t="s">
        <v>3738</v>
      </c>
      <c r="B1505" s="2" t="s">
        <v>3739</v>
      </c>
      <c r="C1505" s="2" t="s">
        <v>43</v>
      </c>
      <c r="D1505" s="2" t="s">
        <v>44</v>
      </c>
      <c r="E1505" s="5">
        <v>-30286</v>
      </c>
      <c r="F1505" s="3" t="s">
        <v>354</v>
      </c>
      <c r="G1505" s="3" t="s">
        <v>1580</v>
      </c>
      <c r="H1505" s="2" t="s">
        <v>21</v>
      </c>
      <c r="I1505" s="2" t="s">
        <v>3740</v>
      </c>
      <c r="J1505" s="3" t="str">
        <f>HYPERLINK("https://www.boe.es/gazeta/dias/1817/01/28/pdfs/GMD-1817-12.pdf#page=5","Abrir facsímil")</f>
        <v>Abrir facsímil</v>
      </c>
      <c r="K1505" s="3" t="s">
        <v>23</v>
      </c>
    </row>
    <row r="1506" spans="1:11" ht="42" customHeight="1">
      <c r="A1506" s="2" t="s">
        <v>3741</v>
      </c>
      <c r="B1506" s="2" t="s">
        <v>3742</v>
      </c>
      <c r="C1506" s="2" t="s">
        <v>97</v>
      </c>
      <c r="D1506" s="2" t="s">
        <v>44</v>
      </c>
      <c r="E1506" s="5">
        <v>-30055</v>
      </c>
      <c r="F1506" s="3" t="s">
        <v>71</v>
      </c>
      <c r="G1506" s="3" t="s">
        <v>82</v>
      </c>
      <c r="H1506" s="2" t="s">
        <v>21</v>
      </c>
      <c r="I1506" s="2" t="s">
        <v>3743</v>
      </c>
      <c r="J1506" s="3" t="str">
        <f>HYPERLINK("https://www.boe.es/gazeta/dias/1817/09/16/pdfs/GMD-1817-111.pdf#page=12","Abrir facsímil")</f>
        <v>Abrir facsímil</v>
      </c>
      <c r="K1506" s="3" t="s">
        <v>23</v>
      </c>
    </row>
    <row r="1507" spans="1:11" ht="42" customHeight="1">
      <c r="A1507" s="2" t="s">
        <v>3744</v>
      </c>
      <c r="B1507" s="2" t="s">
        <v>3744</v>
      </c>
      <c r="C1507" s="2" t="s">
        <v>36</v>
      </c>
      <c r="D1507" s="2" t="s">
        <v>37</v>
      </c>
      <c r="E1507" s="5">
        <v>-30055</v>
      </c>
      <c r="F1507" s="3" t="s">
        <v>71</v>
      </c>
      <c r="G1507" s="3" t="s">
        <v>629</v>
      </c>
      <c r="H1507" s="2" t="s">
        <v>21</v>
      </c>
      <c r="I1507" s="2" t="s">
        <v>3745</v>
      </c>
      <c r="J1507" s="3" t="str">
        <f>HYPERLINK("https://www.boe.es/gazeta/dias/1817/09/16/pdfs/GMD-1817-111.pdf#page=2","Abrir facsímil")</f>
        <v>Abrir facsímil</v>
      </c>
      <c r="K1507" s="3" t="s">
        <v>23</v>
      </c>
    </row>
    <row r="1508" spans="1:11" ht="42" customHeight="1">
      <c r="A1508" s="2" t="s">
        <v>3746</v>
      </c>
      <c r="B1508" s="2" t="s">
        <v>3747</v>
      </c>
      <c r="C1508" s="2" t="s">
        <v>43</v>
      </c>
      <c r="D1508" s="2" t="s">
        <v>44</v>
      </c>
      <c r="E1508" s="5">
        <v>-30079</v>
      </c>
      <c r="F1508" s="3" t="s">
        <v>45</v>
      </c>
      <c r="G1508" s="3" t="s">
        <v>39</v>
      </c>
      <c r="H1508" s="2" t="s">
        <v>21</v>
      </c>
      <c r="I1508" s="2" t="s">
        <v>3748</v>
      </c>
      <c r="J1508" s="3" t="str">
        <f>HYPERLINK("https://www.boe.es/gazeta/dias/1817/08/23/pdfs/GMD-1817-101.pdf#page=5","Abrir facsímil")</f>
        <v>Abrir facsímil</v>
      </c>
      <c r="K1508" s="3" t="s">
        <v>23</v>
      </c>
    </row>
    <row r="1509" spans="1:11" ht="42" customHeight="1">
      <c r="A1509" s="2" t="s">
        <v>3749</v>
      </c>
      <c r="B1509" s="2" t="s">
        <v>3750</v>
      </c>
      <c r="C1509" s="2" t="s">
        <v>43</v>
      </c>
      <c r="D1509" s="2" t="s">
        <v>44</v>
      </c>
      <c r="E1509" s="5">
        <v>-30079</v>
      </c>
      <c r="F1509" s="3" t="s">
        <v>45</v>
      </c>
      <c r="G1509" s="3" t="s">
        <v>39</v>
      </c>
      <c r="H1509" s="2" t="s">
        <v>21</v>
      </c>
      <c r="I1509" s="2" t="s">
        <v>3751</v>
      </c>
      <c r="J1509" s="3" t="str">
        <f>HYPERLINK("https://www.boe.es/gazeta/dias/1817/08/23/pdfs/GMD-1817-101.pdf#page=5","Abrir facsímil")</f>
        <v>Abrir facsímil</v>
      </c>
      <c r="K1509" s="3" t="s">
        <v>23</v>
      </c>
    </row>
    <row r="1510" spans="1:11" ht="42" customHeight="1">
      <c r="A1510" s="2" t="s">
        <v>3752</v>
      </c>
      <c r="B1510" s="2" t="s">
        <v>3752</v>
      </c>
      <c r="C1510" s="2" t="s">
        <v>138</v>
      </c>
      <c r="D1510" s="2" t="s">
        <v>44</v>
      </c>
      <c r="E1510" s="5">
        <v>-30158</v>
      </c>
      <c r="F1510" s="3" t="s">
        <v>305</v>
      </c>
      <c r="G1510" s="3" t="s">
        <v>551</v>
      </c>
      <c r="H1510" s="2" t="s">
        <v>21</v>
      </c>
      <c r="I1510" s="2" t="s">
        <v>3753</v>
      </c>
      <c r="J1510" s="3" t="str">
        <f>HYPERLINK("https://www.boe.es/gazeta/dias/1817/06/05/pdfs/GMD-1817-67.pdf#page=3","Abrir facsímil")</f>
        <v>Abrir facsímil</v>
      </c>
      <c r="K1510" s="3" t="s">
        <v>23</v>
      </c>
    </row>
    <row r="1511" spans="1:11" ht="42" customHeight="1">
      <c r="A1511" s="2" t="s">
        <v>3754</v>
      </c>
      <c r="B1511" s="2" t="s">
        <v>3755</v>
      </c>
      <c r="C1511" s="2" t="s">
        <v>138</v>
      </c>
      <c r="D1511" s="2" t="s">
        <v>44</v>
      </c>
      <c r="E1511" s="5">
        <v>-30284</v>
      </c>
      <c r="F1511" s="3" t="s">
        <v>741</v>
      </c>
      <c r="G1511" s="3" t="s">
        <v>77</v>
      </c>
      <c r="H1511" s="2" t="s">
        <v>21</v>
      </c>
      <c r="I1511" s="2" t="s">
        <v>3756</v>
      </c>
      <c r="J1511" s="3" t="str">
        <f>HYPERLINK("https://www.boe.es/gazeta/dias/1817/01/30/pdfs/GMD-1817-13.pdf#page=8","Abrir facsímil")</f>
        <v>Abrir facsímil</v>
      </c>
      <c r="K1511" s="3" t="s">
        <v>23</v>
      </c>
    </row>
    <row r="1512" spans="1:11" ht="42" customHeight="1">
      <c r="A1512" s="2" t="s">
        <v>3757</v>
      </c>
      <c r="B1512" s="2" t="s">
        <v>3758</v>
      </c>
      <c r="C1512" s="2" t="s">
        <v>43</v>
      </c>
      <c r="D1512" s="2" t="s">
        <v>44</v>
      </c>
      <c r="E1512" s="5">
        <v>-30095</v>
      </c>
      <c r="F1512" s="3" t="s">
        <v>365</v>
      </c>
      <c r="G1512" s="3" t="s">
        <v>112</v>
      </c>
      <c r="H1512" s="2" t="s">
        <v>21</v>
      </c>
      <c r="I1512" s="2" t="s">
        <v>3759</v>
      </c>
      <c r="J1512" s="3" t="str">
        <f>HYPERLINK("https://www.boe.es/gazeta/dias/1817/08/07/pdfs/GMD-1817-94.pdf#page=11","Abrir facsímil")</f>
        <v>Abrir facsímil</v>
      </c>
      <c r="K1512" s="3" t="s">
        <v>23</v>
      </c>
    </row>
    <row r="1513" spans="1:11" ht="42" customHeight="1">
      <c r="A1513" s="2" t="s">
        <v>3760</v>
      </c>
      <c r="B1513" s="2" t="s">
        <v>3761</v>
      </c>
      <c r="C1513" s="2" t="s">
        <v>17</v>
      </c>
      <c r="D1513" s="2" t="s">
        <v>18</v>
      </c>
      <c r="E1513" s="5">
        <v>-30240</v>
      </c>
      <c r="F1513" s="3" t="s">
        <v>347</v>
      </c>
      <c r="G1513" s="3" t="s">
        <v>3762</v>
      </c>
      <c r="H1513" s="2" t="s">
        <v>21</v>
      </c>
      <c r="I1513" s="2" t="s">
        <v>3763</v>
      </c>
      <c r="J1513" s="3" t="str">
        <f>HYPERLINK("https://www.boe.es/gazeta/dias/1817/03/15/pdfs/GMD-1817-32.pdf#page=5","Abrir facsímil")</f>
        <v>Abrir facsímil</v>
      </c>
      <c r="K1513" s="3" t="s">
        <v>23</v>
      </c>
    </row>
    <row r="1514" spans="1:11" ht="42" customHeight="1">
      <c r="A1514" s="2" t="s">
        <v>3764</v>
      </c>
      <c r="B1514" s="2" t="s">
        <v>3764</v>
      </c>
      <c r="C1514" s="2" t="s">
        <v>510</v>
      </c>
      <c r="D1514" s="2" t="s">
        <v>44</v>
      </c>
      <c r="E1514" s="5">
        <v>-30172</v>
      </c>
      <c r="F1514" s="3" t="s">
        <v>991</v>
      </c>
      <c r="G1514" s="3" t="s">
        <v>144</v>
      </c>
      <c r="H1514" s="2" t="s">
        <v>21</v>
      </c>
      <c r="I1514" s="2" t="s">
        <v>3765</v>
      </c>
      <c r="J1514" s="3" t="str">
        <f>HYPERLINK("https://www.boe.es/gazeta/dias/1817/05/22/pdfs/GMD-1817-61.pdf#page=4","Abrir facsímil")</f>
        <v>Abrir facsímil</v>
      </c>
      <c r="K1514" s="3" t="s">
        <v>23</v>
      </c>
    </row>
    <row r="1515" spans="1:11" ht="42" customHeight="1">
      <c r="A1515" s="2" t="s">
        <v>3766</v>
      </c>
      <c r="B1515" s="2" t="s">
        <v>3767</v>
      </c>
      <c r="C1515" s="2" t="s">
        <v>36</v>
      </c>
      <c r="D1515" s="2" t="s">
        <v>37</v>
      </c>
      <c r="E1515" s="5">
        <v>-30188</v>
      </c>
      <c r="F1515" s="3" t="s">
        <v>177</v>
      </c>
      <c r="G1515" s="3" t="s">
        <v>77</v>
      </c>
      <c r="H1515" s="2" t="s">
        <v>27</v>
      </c>
      <c r="I1515" s="2" t="s">
        <v>3768</v>
      </c>
      <c r="J1515" s="3" t="str">
        <f>HYPERLINK("https://www.boe.es/gazeta/dias/1817/05/06/pdfs/GMD-1817-54.pdf#page=8","Abrir facsímil")</f>
        <v>Abrir facsímil</v>
      </c>
      <c r="K1515" s="3" t="s">
        <v>29</v>
      </c>
    </row>
    <row r="1516" spans="1:11" ht="42" customHeight="1">
      <c r="A1516" s="2" t="s">
        <v>3769</v>
      </c>
      <c r="B1516" s="2" t="s">
        <v>3770</v>
      </c>
      <c r="C1516" s="2" t="s">
        <v>36</v>
      </c>
      <c r="D1516" s="2" t="s">
        <v>37</v>
      </c>
      <c r="E1516" s="5">
        <v>-30265</v>
      </c>
      <c r="F1516" s="3" t="s">
        <v>107</v>
      </c>
      <c r="G1516" s="3" t="s">
        <v>77</v>
      </c>
      <c r="H1516" s="2" t="s">
        <v>21</v>
      </c>
      <c r="I1516" s="2" t="s">
        <v>3771</v>
      </c>
      <c r="J1516" s="3" t="str">
        <f>HYPERLINK("https://www.boe.es/gazeta/dias/1817/02/18/pdfs/GMD-1817-21.pdf#page=8","Abrir facsímil")</f>
        <v>Abrir facsímil</v>
      </c>
      <c r="K1516" s="3" t="s">
        <v>23</v>
      </c>
    </row>
    <row r="1517" spans="1:11" ht="42" customHeight="1">
      <c r="A1517" s="2" t="s">
        <v>3772</v>
      </c>
      <c r="B1517" s="2" t="s">
        <v>3772</v>
      </c>
      <c r="C1517" s="2" t="s">
        <v>36</v>
      </c>
      <c r="D1517" s="2" t="s">
        <v>37</v>
      </c>
      <c r="E1517" s="5">
        <v>-30025</v>
      </c>
      <c r="F1517" s="3" t="s">
        <v>458</v>
      </c>
      <c r="G1517" s="3" t="s">
        <v>629</v>
      </c>
      <c r="H1517" s="2" t="s">
        <v>21</v>
      </c>
      <c r="I1517" s="2" t="s">
        <v>3773</v>
      </c>
      <c r="J1517" s="3" t="str">
        <f>HYPERLINK("https://www.boe.es/gazeta/dias/1817/10/16/pdfs/GMD-1817-124.pdf#page=2","Abrir facsímil")</f>
        <v>Abrir facsímil</v>
      </c>
      <c r="K1517" s="3" t="s">
        <v>23</v>
      </c>
    </row>
    <row r="1518" spans="1:11" ht="42" customHeight="1">
      <c r="A1518" s="2" t="s">
        <v>3774</v>
      </c>
      <c r="B1518" s="2" t="s">
        <v>3775</v>
      </c>
      <c r="C1518" s="2" t="s">
        <v>36</v>
      </c>
      <c r="D1518" s="2" t="s">
        <v>37</v>
      </c>
      <c r="E1518" s="5">
        <v>-29985</v>
      </c>
      <c r="F1518" s="3" t="s">
        <v>76</v>
      </c>
      <c r="G1518" s="3" t="s">
        <v>112</v>
      </c>
      <c r="H1518" s="2" t="s">
        <v>21</v>
      </c>
      <c r="I1518" s="2" t="s">
        <v>3776</v>
      </c>
      <c r="J1518" s="3" t="str">
        <f>HYPERLINK("https://www.boe.es/gazeta/dias/1817/11/25/pdfs/GMD-1817-141.pdf#page=11","Abrir facsímil")</f>
        <v>Abrir facsímil</v>
      </c>
      <c r="K1518" s="3" t="s">
        <v>23</v>
      </c>
    </row>
    <row r="1519" spans="1:11" ht="42" customHeight="1">
      <c r="A1519" s="2" t="s">
        <v>3777</v>
      </c>
      <c r="B1519" s="2" t="s">
        <v>3778</v>
      </c>
      <c r="C1519" s="2" t="s">
        <v>36</v>
      </c>
      <c r="D1519" s="2" t="s">
        <v>37</v>
      </c>
      <c r="E1519" s="5">
        <v>-30046</v>
      </c>
      <c r="F1519" s="3" t="s">
        <v>214</v>
      </c>
      <c r="G1519" s="3" t="s">
        <v>112</v>
      </c>
      <c r="H1519" s="2" t="s">
        <v>21</v>
      </c>
      <c r="I1519" s="2" t="s">
        <v>3779</v>
      </c>
      <c r="J1519" s="3" t="str">
        <f>HYPERLINK("https://www.boe.es/gazeta/dias/1817/09/25/pdfs/GMD-1817-115.pdf#page=11","Abrir facsímil")</f>
        <v>Abrir facsímil</v>
      </c>
      <c r="K1519" s="3" t="s">
        <v>23</v>
      </c>
    </row>
    <row r="1520" spans="1:11" ht="42" customHeight="1">
      <c r="A1520" s="2" t="s">
        <v>3780</v>
      </c>
      <c r="B1520" s="2" t="s">
        <v>3781</v>
      </c>
      <c r="C1520" s="2" t="s">
        <v>43</v>
      </c>
      <c r="D1520" s="2" t="s">
        <v>44</v>
      </c>
      <c r="E1520" s="5">
        <v>-30130</v>
      </c>
      <c r="F1520" s="3" t="s">
        <v>768</v>
      </c>
      <c r="G1520" s="3" t="s">
        <v>144</v>
      </c>
      <c r="H1520" s="2" t="s">
        <v>21</v>
      </c>
      <c r="I1520" s="2" t="s">
        <v>3782</v>
      </c>
      <c r="J1520" s="3" t="str">
        <f>HYPERLINK("https://www.boe.es/gazeta/dias/1817/07/03/pdfs/GMD-1817-79.pdf#page=4","Abrir facsímil")</f>
        <v>Abrir facsímil</v>
      </c>
      <c r="K1520" s="3" t="s">
        <v>23</v>
      </c>
    </row>
    <row r="1521" spans="1:11" ht="42" customHeight="1">
      <c r="A1521" s="2" t="s">
        <v>3783</v>
      </c>
      <c r="B1521" s="2" t="s">
        <v>3784</v>
      </c>
      <c r="C1521" s="2" t="s">
        <v>43</v>
      </c>
      <c r="D1521" s="2" t="s">
        <v>44</v>
      </c>
      <c r="E1521" s="5">
        <v>-30130</v>
      </c>
      <c r="F1521" s="3" t="s">
        <v>768</v>
      </c>
      <c r="G1521" s="3" t="s">
        <v>39</v>
      </c>
      <c r="H1521" s="2" t="s">
        <v>21</v>
      </c>
      <c r="I1521" s="2" t="s">
        <v>3785</v>
      </c>
      <c r="J1521" s="3" t="str">
        <f>HYPERLINK("https://www.boe.es/gazeta/dias/1817/07/03/pdfs/GMD-1817-79.pdf#page=5","Abrir facsímil")</f>
        <v>Abrir facsímil</v>
      </c>
      <c r="K1521" s="3" t="s">
        <v>23</v>
      </c>
    </row>
    <row r="1522" spans="1:11" ht="42" customHeight="1">
      <c r="A1522" s="2" t="s">
        <v>3786</v>
      </c>
      <c r="B1522" s="2" t="s">
        <v>3786</v>
      </c>
      <c r="C1522" s="2" t="s">
        <v>36</v>
      </c>
      <c r="D1522" s="2" t="s">
        <v>37</v>
      </c>
      <c r="E1522" s="5">
        <v>-30235</v>
      </c>
      <c r="F1522" s="3" t="s">
        <v>398</v>
      </c>
      <c r="G1522" s="3" t="s">
        <v>72</v>
      </c>
      <c r="H1522" s="2" t="s">
        <v>21</v>
      </c>
      <c r="I1522" s="2" t="s">
        <v>3787</v>
      </c>
      <c r="J1522" s="3" t="str">
        <f>HYPERLINK("https://www.boe.es/gazeta/dias/1817/03/20/pdfs/GMD-1817-34.pdf#page=1","Abrir facsímil")</f>
        <v>Abrir facsímil</v>
      </c>
      <c r="K1522" s="3" t="s">
        <v>23</v>
      </c>
    </row>
    <row r="1523" spans="1:11" ht="42" customHeight="1">
      <c r="A1523" s="2" t="s">
        <v>3788</v>
      </c>
      <c r="B1523" s="2" t="s">
        <v>3789</v>
      </c>
      <c r="C1523" s="2" t="s">
        <v>17</v>
      </c>
      <c r="D1523" s="2" t="s">
        <v>18</v>
      </c>
      <c r="E1523" s="5">
        <v>-30062</v>
      </c>
      <c r="F1523" s="3" t="s">
        <v>444</v>
      </c>
      <c r="G1523" s="3" t="s">
        <v>82</v>
      </c>
      <c r="H1523" s="2" t="s">
        <v>21</v>
      </c>
      <c r="I1523" s="2" t="s">
        <v>3790</v>
      </c>
      <c r="J1523" s="3" t="str">
        <f>HYPERLINK("https://www.boe.es/gazeta/dias/1817/09/09/pdfs/GMD-1817-108.pdf#page=12","Abrir facsímil")</f>
        <v>Abrir facsímil</v>
      </c>
      <c r="K1523" s="3" t="s">
        <v>23</v>
      </c>
    </row>
    <row r="1524" spans="1:11" ht="42" customHeight="1">
      <c r="A1524" s="2" t="s">
        <v>3788</v>
      </c>
      <c r="B1524" s="2" t="s">
        <v>3789</v>
      </c>
      <c r="C1524" s="2" t="s">
        <v>17</v>
      </c>
      <c r="D1524" s="2" t="s">
        <v>18</v>
      </c>
      <c r="E1524" s="5">
        <v>-29976</v>
      </c>
      <c r="F1524" s="3" t="s">
        <v>81</v>
      </c>
      <c r="G1524" s="3" t="s">
        <v>82</v>
      </c>
      <c r="H1524" s="2" t="s">
        <v>21</v>
      </c>
      <c r="I1524" s="2" t="s">
        <v>3791</v>
      </c>
      <c r="J1524" s="3" t="str">
        <f>HYPERLINK("https://www.boe.es/gazeta/dias/1817/12/04/pdfs/GMD-1817-145.pdf#page=12","Abrir facsímil")</f>
        <v>Abrir facsímil</v>
      </c>
      <c r="K1524" s="3" t="s">
        <v>23</v>
      </c>
    </row>
    <row r="1525" spans="1:11" ht="42" customHeight="1">
      <c r="A1525" s="2" t="s">
        <v>3792</v>
      </c>
      <c r="B1525" s="2" t="s">
        <v>3793</v>
      </c>
      <c r="C1525" s="2" t="s">
        <v>36</v>
      </c>
      <c r="D1525" s="2" t="s">
        <v>37</v>
      </c>
      <c r="E1525" s="5">
        <v>-30272</v>
      </c>
      <c r="F1525" s="3" t="s">
        <v>493</v>
      </c>
      <c r="G1525" s="3" t="s">
        <v>551</v>
      </c>
      <c r="H1525" s="2" t="s">
        <v>21</v>
      </c>
      <c r="I1525" s="2" t="s">
        <v>3794</v>
      </c>
      <c r="J1525" s="3" t="str">
        <f>HYPERLINK("https://www.boe.es/gazeta/dias/1817/02/11/pdfs/GMD-1817-18.pdf#page=3","Abrir facsímil")</f>
        <v>Abrir facsímil</v>
      </c>
      <c r="K1525" s="3" t="s">
        <v>23</v>
      </c>
    </row>
    <row r="1526" spans="1:11" ht="42" customHeight="1">
      <c r="A1526" s="2" t="s">
        <v>3795</v>
      </c>
      <c r="B1526" s="2" t="s">
        <v>3796</v>
      </c>
      <c r="C1526" s="2" t="s">
        <v>17</v>
      </c>
      <c r="D1526" s="2" t="s">
        <v>18</v>
      </c>
      <c r="E1526" s="5">
        <v>-30312</v>
      </c>
      <c r="F1526" s="3" t="s">
        <v>86</v>
      </c>
      <c r="G1526" s="3" t="s">
        <v>39</v>
      </c>
      <c r="H1526" s="2" t="s">
        <v>21</v>
      </c>
      <c r="I1526" s="2" t="s">
        <v>3797</v>
      </c>
      <c r="J1526" s="3" t="str">
        <f>HYPERLINK("https://www.boe.es/gazeta/dias/1817/01/02/pdfs/GMD-1817-1.pdf#page=5","Abrir facsímil")</f>
        <v>Abrir facsímil</v>
      </c>
      <c r="K1526" s="3" t="s">
        <v>23</v>
      </c>
    </row>
    <row r="1527" spans="1:11" ht="42" customHeight="1">
      <c r="A1527" s="2" t="s">
        <v>3798</v>
      </c>
      <c r="B1527" s="2" t="s">
        <v>3799</v>
      </c>
      <c r="C1527" s="2" t="s">
        <v>36</v>
      </c>
      <c r="D1527" s="2" t="s">
        <v>37</v>
      </c>
      <c r="E1527" s="5">
        <v>-30291</v>
      </c>
      <c r="F1527" s="3" t="s">
        <v>1041</v>
      </c>
      <c r="G1527" s="3" t="s">
        <v>20</v>
      </c>
      <c r="H1527" s="2" t="s">
        <v>21</v>
      </c>
      <c r="I1527" s="2" t="s">
        <v>3800</v>
      </c>
      <c r="J1527" s="3" t="str">
        <f>HYPERLINK("https://www.boe.es/gazeta/dias/1817/01/23/pdfs/GMD-1817-10.pdf#page=7","Abrir facsímil")</f>
        <v>Abrir facsímil</v>
      </c>
      <c r="K1527" s="3" t="s">
        <v>23</v>
      </c>
    </row>
    <row r="1528" spans="1:11" ht="42" customHeight="1">
      <c r="A1528" s="2" t="s">
        <v>3801</v>
      </c>
      <c r="B1528" s="2" t="s">
        <v>3802</v>
      </c>
      <c r="C1528" s="2" t="s">
        <v>49</v>
      </c>
      <c r="D1528" s="2" t="s">
        <v>44</v>
      </c>
      <c r="E1528" s="5">
        <v>-30305</v>
      </c>
      <c r="F1528" s="3" t="s">
        <v>405</v>
      </c>
      <c r="G1528" s="3" t="s">
        <v>77</v>
      </c>
      <c r="H1528" s="2" t="s">
        <v>21</v>
      </c>
      <c r="I1528" s="2" t="s">
        <v>3803</v>
      </c>
      <c r="J1528" s="3" t="str">
        <f>HYPERLINK("https://www.boe.es/gazeta/dias/1817/01/09/pdfs/GMD-1817-4.pdf#page=8","Abrir facsímil")</f>
        <v>Abrir facsímil</v>
      </c>
      <c r="K1528" s="3" t="s">
        <v>23</v>
      </c>
    </row>
    <row r="1529" spans="1:11" ht="42" customHeight="1">
      <c r="A1529" s="2" t="s">
        <v>3804</v>
      </c>
      <c r="B1529" s="2" t="s">
        <v>3805</v>
      </c>
      <c r="C1529" s="2" t="s">
        <v>17</v>
      </c>
      <c r="D1529" s="2" t="s">
        <v>18</v>
      </c>
      <c r="E1529" s="5">
        <v>-30179</v>
      </c>
      <c r="F1529" s="3" t="s">
        <v>391</v>
      </c>
      <c r="G1529" s="3" t="s">
        <v>20</v>
      </c>
      <c r="H1529" s="2" t="s">
        <v>21</v>
      </c>
      <c r="I1529" s="2" t="s">
        <v>3806</v>
      </c>
      <c r="J1529" s="3" t="str">
        <f>HYPERLINK("https://www.boe.es/gazeta/dias/1817/05/15/pdfs/GMD-1817-58.pdf#page=7","Abrir facsímil")</f>
        <v>Abrir facsímil</v>
      </c>
      <c r="K1529" s="3" t="s">
        <v>23</v>
      </c>
    </row>
    <row r="1530" spans="1:11" ht="42" customHeight="1">
      <c r="A1530" s="2" t="s">
        <v>3807</v>
      </c>
      <c r="B1530" s="2" t="s">
        <v>3808</v>
      </c>
      <c r="C1530" s="2" t="s">
        <v>17</v>
      </c>
      <c r="D1530" s="2" t="s">
        <v>18</v>
      </c>
      <c r="E1530" s="5">
        <v>-30298</v>
      </c>
      <c r="F1530" s="3" t="s">
        <v>489</v>
      </c>
      <c r="G1530" s="3" t="s">
        <v>77</v>
      </c>
      <c r="H1530" s="2" t="s">
        <v>21</v>
      </c>
      <c r="I1530" s="2" t="s">
        <v>3809</v>
      </c>
      <c r="J1530" s="3" t="str">
        <f>HYPERLINK("https://www.boe.es/gazeta/dias/1817/01/16/pdfs/GMD-1817-7.pdf#page=8","Abrir facsímil")</f>
        <v>Abrir facsímil</v>
      </c>
      <c r="K1530" s="3" t="s">
        <v>23</v>
      </c>
    </row>
    <row r="1531" spans="1:11" ht="42" customHeight="1">
      <c r="A1531" s="2" t="s">
        <v>3810</v>
      </c>
      <c r="B1531" s="2" t="s">
        <v>3811</v>
      </c>
      <c r="C1531" s="2" t="s">
        <v>17</v>
      </c>
      <c r="D1531" s="2" t="s">
        <v>18</v>
      </c>
      <c r="E1531" s="5">
        <v>-30177</v>
      </c>
      <c r="F1531" s="3" t="s">
        <v>633</v>
      </c>
      <c r="G1531" s="3" t="s">
        <v>77</v>
      </c>
      <c r="H1531" s="2" t="s">
        <v>21</v>
      </c>
      <c r="I1531" s="2" t="s">
        <v>3812</v>
      </c>
      <c r="J1531" s="3" t="str">
        <f>HYPERLINK("https://www.boe.es/gazeta/dias/1817/05/17/pdfs/GMD-1817-59.pdf#page=8","Abrir facsímil")</f>
        <v>Abrir facsímil</v>
      </c>
      <c r="K1531" s="3" t="s">
        <v>23</v>
      </c>
    </row>
    <row r="1532" spans="1:11" ht="42" customHeight="1">
      <c r="A1532" s="2" t="s">
        <v>3813</v>
      </c>
      <c r="B1532" s="2" t="s">
        <v>3814</v>
      </c>
      <c r="C1532" s="2" t="s">
        <v>17</v>
      </c>
      <c r="D1532" s="2" t="s">
        <v>18</v>
      </c>
      <c r="E1532" s="5">
        <v>-30195</v>
      </c>
      <c r="F1532" s="3" t="s">
        <v>1163</v>
      </c>
      <c r="G1532" s="3" t="s">
        <v>3815</v>
      </c>
      <c r="H1532" s="2" t="s">
        <v>21</v>
      </c>
      <c r="I1532" s="2" t="s">
        <v>3816</v>
      </c>
      <c r="J1532" s="3" t="str">
        <f>HYPERLINK("https://www.boe.es/gazeta/dias/1817/04/29/pdfs/GMD-1817-51.pdf#page=7","Abrir facsímil")</f>
        <v>Abrir facsímil</v>
      </c>
      <c r="K1532" s="3" t="s">
        <v>23</v>
      </c>
    </row>
    <row r="1533" spans="1:11" ht="42" customHeight="1">
      <c r="A1533" s="2" t="s">
        <v>3817</v>
      </c>
      <c r="B1533" s="2" t="s">
        <v>3818</v>
      </c>
      <c r="C1533" s="2" t="s">
        <v>36</v>
      </c>
      <c r="D1533" s="2" t="s">
        <v>37</v>
      </c>
      <c r="E1533" s="5">
        <v>-30062</v>
      </c>
      <c r="F1533" s="3" t="s">
        <v>444</v>
      </c>
      <c r="G1533" s="3" t="s">
        <v>691</v>
      </c>
      <c r="H1533" s="2" t="s">
        <v>21</v>
      </c>
      <c r="I1533" s="2" t="s">
        <v>3819</v>
      </c>
      <c r="J1533" s="3" t="str">
        <f>HYPERLINK("https://www.boe.es/gazeta/dias/1817/09/09/pdfs/GMD-1817-108.pdf#page=8","Abrir facsímil")</f>
        <v>Abrir facsímil</v>
      </c>
      <c r="K1533" s="3" t="s">
        <v>23</v>
      </c>
    </row>
    <row r="1534" spans="1:11" ht="42" customHeight="1">
      <c r="A1534" s="2" t="s">
        <v>3820</v>
      </c>
      <c r="B1534" s="2" t="s">
        <v>3821</v>
      </c>
      <c r="C1534" s="2" t="s">
        <v>17</v>
      </c>
      <c r="D1534" s="2" t="s">
        <v>18</v>
      </c>
      <c r="E1534" s="5">
        <v>-30277</v>
      </c>
      <c r="F1534" s="3" t="s">
        <v>3822</v>
      </c>
      <c r="G1534" s="3" t="s">
        <v>20</v>
      </c>
      <c r="H1534" s="2" t="s">
        <v>21</v>
      </c>
      <c r="I1534" s="2" t="s">
        <v>3823</v>
      </c>
      <c r="J1534" s="3" t="str">
        <f>HYPERLINK("https://www.boe.es/gazeta/dias/1817/02/06/pdfs/GMD-1817-16.pdf#page=7","Abrir facsímil")</f>
        <v>Abrir facsímil</v>
      </c>
      <c r="K1534" s="3" t="s">
        <v>23</v>
      </c>
    </row>
    <row r="1535" spans="1:11" ht="42" customHeight="1">
      <c r="A1535" s="2" t="s">
        <v>3824</v>
      </c>
      <c r="B1535" s="2" t="s">
        <v>3825</v>
      </c>
      <c r="C1535" s="2" t="s">
        <v>138</v>
      </c>
      <c r="D1535" s="2" t="s">
        <v>44</v>
      </c>
      <c r="E1535" s="5">
        <v>-30279</v>
      </c>
      <c r="F1535" s="3" t="s">
        <v>1113</v>
      </c>
      <c r="G1535" s="3" t="s">
        <v>39</v>
      </c>
      <c r="H1535" s="2" t="s">
        <v>21</v>
      </c>
      <c r="I1535" s="2" t="s">
        <v>3826</v>
      </c>
      <c r="J1535" s="3" t="str">
        <f>HYPERLINK("https://www.boe.es/gazeta/dias/1817/02/04/pdfs/GMD-1817-15.pdf#page=5","Abrir facsímil")</f>
        <v>Abrir facsímil</v>
      </c>
      <c r="K1535" s="3" t="s">
        <v>23</v>
      </c>
    </row>
    <row r="1536" spans="1:11" ht="42" customHeight="1">
      <c r="A1536" s="2" t="s">
        <v>3827</v>
      </c>
      <c r="B1536" s="2" t="s">
        <v>3828</v>
      </c>
      <c r="C1536" s="2" t="s">
        <v>17</v>
      </c>
      <c r="D1536" s="2" t="s">
        <v>18</v>
      </c>
      <c r="E1536" s="5">
        <v>-30254</v>
      </c>
      <c r="F1536" s="3" t="s">
        <v>124</v>
      </c>
      <c r="G1536" s="3" t="s">
        <v>20</v>
      </c>
      <c r="H1536" s="2" t="s">
        <v>21</v>
      </c>
      <c r="I1536" s="2" t="s">
        <v>3829</v>
      </c>
      <c r="J1536" s="3" t="str">
        <f>HYPERLINK("https://www.boe.es/gazeta/dias/1817/03/01/pdfs/GMD-1817-26.pdf#page=7","Abrir facsímil")</f>
        <v>Abrir facsímil</v>
      </c>
      <c r="K1536" s="3" t="s">
        <v>23</v>
      </c>
    </row>
    <row r="1537" spans="1:11" ht="42" customHeight="1">
      <c r="A1537" s="2" t="s">
        <v>3827</v>
      </c>
      <c r="B1537" s="2" t="s">
        <v>3828</v>
      </c>
      <c r="C1537" s="2" t="s">
        <v>17</v>
      </c>
      <c r="D1537" s="2" t="s">
        <v>18</v>
      </c>
      <c r="E1537" s="5">
        <v>-30249</v>
      </c>
      <c r="F1537" s="3" t="s">
        <v>120</v>
      </c>
      <c r="G1537" s="3" t="s">
        <v>57</v>
      </c>
      <c r="H1537" s="2" t="s">
        <v>21</v>
      </c>
      <c r="I1537" s="2" t="s">
        <v>3830</v>
      </c>
      <c r="J1537" s="3" t="str">
        <f>HYPERLINK("https://www.boe.es/gazeta/dias/1817/03/06/pdfs/GMD-1817-28.pdf#page=6","Abrir facsímil")</f>
        <v>Abrir facsímil</v>
      </c>
      <c r="K1537" s="3" t="s">
        <v>23</v>
      </c>
    </row>
    <row r="1538" spans="1:11" ht="42" customHeight="1">
      <c r="A1538" s="2" t="s">
        <v>3827</v>
      </c>
      <c r="B1538" s="2" t="s">
        <v>3828</v>
      </c>
      <c r="C1538" s="2" t="s">
        <v>17</v>
      </c>
      <c r="D1538" s="2" t="s">
        <v>18</v>
      </c>
      <c r="E1538" s="5">
        <v>-30167</v>
      </c>
      <c r="F1538" s="3" t="s">
        <v>153</v>
      </c>
      <c r="G1538" s="3" t="s">
        <v>57</v>
      </c>
      <c r="H1538" s="2" t="s">
        <v>21</v>
      </c>
      <c r="I1538" s="2" t="s">
        <v>3831</v>
      </c>
      <c r="J1538" s="3" t="str">
        <f>HYPERLINK("https://www.boe.es/gazeta/dias/1817/05/27/pdfs/GMD-1817-63.pdf#page=6","Abrir facsímil")</f>
        <v>Abrir facsímil</v>
      </c>
      <c r="K1538" s="3" t="s">
        <v>23</v>
      </c>
    </row>
    <row r="1539" spans="1:11" ht="42" customHeight="1">
      <c r="A1539" s="2" t="s">
        <v>3827</v>
      </c>
      <c r="B1539" s="2" t="s">
        <v>3828</v>
      </c>
      <c r="C1539" s="2" t="s">
        <v>36</v>
      </c>
      <c r="D1539" s="2" t="s">
        <v>37</v>
      </c>
      <c r="E1539" s="5">
        <v>-30053</v>
      </c>
      <c r="F1539" s="3" t="s">
        <v>129</v>
      </c>
      <c r="G1539" s="3" t="s">
        <v>77</v>
      </c>
      <c r="H1539" s="2" t="s">
        <v>21</v>
      </c>
      <c r="I1539" s="2" t="s">
        <v>3832</v>
      </c>
      <c r="J1539" s="3" t="str">
        <f>HYPERLINK("https://www.boe.es/gazeta/dias/1817/09/18/pdfs/GMD-1817-112.pdf#page=8","Abrir facsímil")</f>
        <v>Abrir facsímil</v>
      </c>
      <c r="K1539" s="3" t="s">
        <v>23</v>
      </c>
    </row>
    <row r="1540" spans="1:11" ht="42" customHeight="1">
      <c r="A1540" s="2" t="s">
        <v>3827</v>
      </c>
      <c r="B1540" s="2" t="s">
        <v>3828</v>
      </c>
      <c r="C1540" s="2" t="s">
        <v>510</v>
      </c>
      <c r="D1540" s="2" t="s">
        <v>44</v>
      </c>
      <c r="E1540" s="5">
        <v>-29999</v>
      </c>
      <c r="F1540" s="3" t="s">
        <v>471</v>
      </c>
      <c r="G1540" s="3" t="s">
        <v>1464</v>
      </c>
      <c r="H1540" s="2" t="s">
        <v>21</v>
      </c>
      <c r="I1540" s="2" t="s">
        <v>3833</v>
      </c>
      <c r="J1540" s="3" t="str">
        <f>HYPERLINK("https://www.boe.es/gazeta/dias/1817/11/11/pdfs/GMD-1817-135.pdf#page=13","Abrir facsímil")</f>
        <v>Abrir facsímil</v>
      </c>
      <c r="K1540" s="3" t="s">
        <v>23</v>
      </c>
    </row>
    <row r="1541" spans="1:11" ht="42" customHeight="1">
      <c r="A1541" s="2" t="s">
        <v>3827</v>
      </c>
      <c r="B1541" s="2" t="s">
        <v>3828</v>
      </c>
      <c r="C1541" s="2" t="s">
        <v>43</v>
      </c>
      <c r="D1541" s="2" t="s">
        <v>44</v>
      </c>
      <c r="E1541" s="5">
        <v>-29999</v>
      </c>
      <c r="F1541" s="3" t="s">
        <v>471</v>
      </c>
      <c r="G1541" s="3" t="s">
        <v>887</v>
      </c>
      <c r="H1541" s="2" t="s">
        <v>21</v>
      </c>
      <c r="I1541" s="2" t="s">
        <v>3834</v>
      </c>
      <c r="J1541" s="3" t="str">
        <f>HYPERLINK("https://www.boe.es/gazeta/dias/1817/11/11/pdfs/GMD-1817-135.pdf#page=9","Abrir facsímil")</f>
        <v>Abrir facsímil</v>
      </c>
      <c r="K1541" s="3" t="s">
        <v>23</v>
      </c>
    </row>
    <row r="1542" spans="1:11" ht="42" customHeight="1">
      <c r="A1542" s="2" t="s">
        <v>3835</v>
      </c>
      <c r="B1542" s="2" t="s">
        <v>3836</v>
      </c>
      <c r="C1542" s="2" t="s">
        <v>17</v>
      </c>
      <c r="D1542" s="2" t="s">
        <v>18</v>
      </c>
      <c r="E1542" s="5">
        <v>-30247</v>
      </c>
      <c r="F1542" s="3" t="s">
        <v>1796</v>
      </c>
      <c r="G1542" s="3" t="s">
        <v>20</v>
      </c>
      <c r="H1542" s="2" t="s">
        <v>21</v>
      </c>
      <c r="I1542" s="2" t="s">
        <v>3837</v>
      </c>
      <c r="J1542" s="3" t="str">
        <f>HYPERLINK("https://www.boe.es/gazeta/dias/1817/03/08/pdfs/GMD-1817-29.pdf#page=7","Abrir facsímil")</f>
        <v>Abrir facsímil</v>
      </c>
      <c r="K1542" s="3" t="s">
        <v>23</v>
      </c>
    </row>
    <row r="1543" spans="1:11" ht="42" customHeight="1">
      <c r="A1543" s="2" t="s">
        <v>3838</v>
      </c>
      <c r="B1543" s="2" t="s">
        <v>3839</v>
      </c>
      <c r="C1543" s="2" t="s">
        <v>43</v>
      </c>
      <c r="D1543" s="2" t="s">
        <v>44</v>
      </c>
      <c r="E1543" s="5">
        <v>-29981</v>
      </c>
      <c r="F1543" s="3" t="s">
        <v>111</v>
      </c>
      <c r="G1543" s="3" t="s">
        <v>112</v>
      </c>
      <c r="H1543" s="2" t="s">
        <v>21</v>
      </c>
      <c r="I1543" s="2" t="s">
        <v>3840</v>
      </c>
      <c r="J1543" s="3" t="str">
        <f>HYPERLINK("https://www.boe.es/gazeta/dias/1817/11/29/pdfs/GMD-1817-143.pdf#page=11","Abrir facsímil")</f>
        <v>Abrir facsímil</v>
      </c>
      <c r="K1543" s="3" t="s">
        <v>23</v>
      </c>
    </row>
    <row r="1544" spans="1:11" ht="42" customHeight="1">
      <c r="A1544" s="2" t="s">
        <v>3841</v>
      </c>
      <c r="B1544" s="2" t="s">
        <v>3842</v>
      </c>
      <c r="C1544" s="2" t="s">
        <v>36</v>
      </c>
      <c r="D1544" s="2" t="s">
        <v>37</v>
      </c>
      <c r="E1544" s="5">
        <v>-30065</v>
      </c>
      <c r="F1544" s="3" t="s">
        <v>201</v>
      </c>
      <c r="G1544" s="3" t="s">
        <v>20</v>
      </c>
      <c r="H1544" s="2" t="s">
        <v>27</v>
      </c>
      <c r="I1544" s="2" t="s">
        <v>3843</v>
      </c>
      <c r="J1544" s="3" t="str">
        <f>HYPERLINK("https://www.boe.es/gazeta/dias/1817/09/06/pdfs/GMD-1817-107.pdf#page=7","Abrir facsímil")</f>
        <v>Abrir facsímil</v>
      </c>
      <c r="K1544" s="3" t="s">
        <v>29</v>
      </c>
    </row>
    <row r="1545" spans="1:11" ht="42" customHeight="1">
      <c r="A1545" s="2" t="s">
        <v>3844</v>
      </c>
      <c r="B1545" s="2" t="s">
        <v>3845</v>
      </c>
      <c r="C1545" s="2" t="s">
        <v>36</v>
      </c>
      <c r="D1545" s="2" t="s">
        <v>37</v>
      </c>
      <c r="E1545" s="5">
        <v>-30060</v>
      </c>
      <c r="F1545" s="3" t="s">
        <v>446</v>
      </c>
      <c r="G1545" s="3" t="s">
        <v>39</v>
      </c>
      <c r="H1545" s="2" t="s">
        <v>21</v>
      </c>
      <c r="I1545" s="2" t="s">
        <v>3846</v>
      </c>
      <c r="J1545" s="3" t="str">
        <f>HYPERLINK("https://www.boe.es/gazeta/dias/1817/09/11/pdfs/GMD-1817-109.pdf#page=5","Abrir facsímil")</f>
        <v>Abrir facsímil</v>
      </c>
      <c r="K1545" s="3" t="s">
        <v>23</v>
      </c>
    </row>
    <row r="1546" spans="1:11" ht="42" customHeight="1">
      <c r="A1546" s="2" t="s">
        <v>3847</v>
      </c>
      <c r="B1546" s="2" t="s">
        <v>3848</v>
      </c>
      <c r="C1546" s="2" t="s">
        <v>43</v>
      </c>
      <c r="D1546" s="2" t="s">
        <v>44</v>
      </c>
      <c r="E1546" s="5">
        <v>-30013</v>
      </c>
      <c r="F1546" s="3" t="s">
        <v>464</v>
      </c>
      <c r="G1546" s="3" t="s">
        <v>39</v>
      </c>
      <c r="H1546" s="2" t="s">
        <v>21</v>
      </c>
      <c r="I1546" s="2" t="s">
        <v>3849</v>
      </c>
      <c r="J1546" s="3" t="str">
        <f>HYPERLINK("https://www.boe.es/gazeta/dias/1817/10/28/pdfs/GMD-1817-129.pdf#page=5","Abrir facsímil")</f>
        <v>Abrir facsímil</v>
      </c>
      <c r="K1546" s="3" t="s">
        <v>23</v>
      </c>
    </row>
    <row r="1547" spans="1:11" ht="42" customHeight="1">
      <c r="A1547" s="2" t="s">
        <v>3850</v>
      </c>
      <c r="B1547" s="2" t="s">
        <v>3851</v>
      </c>
      <c r="C1547" s="2" t="s">
        <v>17</v>
      </c>
      <c r="D1547" s="2" t="s">
        <v>18</v>
      </c>
      <c r="E1547" s="5">
        <v>-30027</v>
      </c>
      <c r="F1547" s="3" t="s">
        <v>173</v>
      </c>
      <c r="G1547" s="3" t="s">
        <v>20</v>
      </c>
      <c r="H1547" s="2" t="s">
        <v>21</v>
      </c>
      <c r="I1547" s="2" t="s">
        <v>3852</v>
      </c>
      <c r="J1547" s="3" t="str">
        <f>HYPERLINK("https://www.boe.es/gazeta/dias/1817/10/14/pdfs/GMD-1817-123.pdf#page=7","Abrir facsímil")</f>
        <v>Abrir facsímil</v>
      </c>
      <c r="K1547" s="3" t="s">
        <v>23</v>
      </c>
    </row>
    <row r="1548" spans="1:11" ht="42" customHeight="1">
      <c r="A1548" s="2" t="s">
        <v>3853</v>
      </c>
      <c r="B1548" s="2" t="s">
        <v>3854</v>
      </c>
      <c r="C1548" s="2" t="s">
        <v>36</v>
      </c>
      <c r="D1548" s="2" t="s">
        <v>37</v>
      </c>
      <c r="E1548" s="5">
        <v>-30011</v>
      </c>
      <c r="F1548" s="3" t="s">
        <v>313</v>
      </c>
      <c r="G1548" s="3" t="s">
        <v>314</v>
      </c>
      <c r="H1548" s="2" t="s">
        <v>21</v>
      </c>
      <c r="I1548" s="2" t="s">
        <v>3855</v>
      </c>
      <c r="J1548" s="3" t="str">
        <f>HYPERLINK("https://www.boe.es/gazeta/dias/1817/10/30/pdfs/GMD-1817-130.pdf#page=10","Abrir facsímil")</f>
        <v>Abrir facsímil</v>
      </c>
      <c r="K1548" s="3" t="s">
        <v>23</v>
      </c>
    </row>
    <row r="1549" spans="1:11" ht="42" customHeight="1">
      <c r="A1549" s="2" t="s">
        <v>3856</v>
      </c>
      <c r="B1549" s="2" t="s">
        <v>3857</v>
      </c>
      <c r="C1549" s="2" t="s">
        <v>36</v>
      </c>
      <c r="D1549" s="2" t="s">
        <v>37</v>
      </c>
      <c r="E1549" s="5">
        <v>-30062</v>
      </c>
      <c r="F1549" s="3" t="s">
        <v>444</v>
      </c>
      <c r="G1549" s="3" t="s">
        <v>691</v>
      </c>
      <c r="H1549" s="2" t="s">
        <v>21</v>
      </c>
      <c r="I1549" s="2" t="s">
        <v>3858</v>
      </c>
      <c r="J1549" s="3" t="str">
        <f>HYPERLINK("https://www.boe.es/gazeta/dias/1817/09/09/pdfs/GMD-1817-108.pdf#page=8","Abrir facsímil")</f>
        <v>Abrir facsímil</v>
      </c>
      <c r="K1549" s="3" t="s">
        <v>23</v>
      </c>
    </row>
    <row r="1550" spans="1:11" ht="42" customHeight="1">
      <c r="A1550" s="2" t="s">
        <v>3859</v>
      </c>
      <c r="B1550" s="2" t="s">
        <v>3860</v>
      </c>
      <c r="C1550" s="2" t="s">
        <v>43</v>
      </c>
      <c r="D1550" s="2" t="s">
        <v>44</v>
      </c>
      <c r="E1550" s="5">
        <v>-30013</v>
      </c>
      <c r="F1550" s="3" t="s">
        <v>464</v>
      </c>
      <c r="G1550" s="3" t="s">
        <v>39</v>
      </c>
      <c r="H1550" s="2" t="s">
        <v>21</v>
      </c>
      <c r="I1550" s="2" t="s">
        <v>3861</v>
      </c>
      <c r="J1550" s="3" t="str">
        <f>HYPERLINK("https://www.boe.es/gazeta/dias/1817/10/28/pdfs/GMD-1817-129.pdf#page=5","Abrir facsímil")</f>
        <v>Abrir facsímil</v>
      </c>
      <c r="K1550" s="3" t="s">
        <v>23</v>
      </c>
    </row>
    <row r="1551" spans="1:11" ht="42" customHeight="1">
      <c r="A1551" s="2" t="s">
        <v>3862</v>
      </c>
      <c r="B1551" s="2" t="s">
        <v>3863</v>
      </c>
      <c r="C1551" s="2" t="s">
        <v>36</v>
      </c>
      <c r="D1551" s="2" t="s">
        <v>37</v>
      </c>
      <c r="E1551" s="5">
        <v>-30046</v>
      </c>
      <c r="F1551" s="3" t="s">
        <v>214</v>
      </c>
      <c r="G1551" s="3" t="s">
        <v>275</v>
      </c>
      <c r="H1551" s="2" t="s">
        <v>21</v>
      </c>
      <c r="I1551" s="2" t="s">
        <v>3864</v>
      </c>
      <c r="J1551" s="3" t="str">
        <f>HYPERLINK("https://www.boe.es/gazeta/dias/1817/09/25/pdfs/GMD-1817-115.pdf#page=12","Abrir facsímil")</f>
        <v>Abrir facsímil</v>
      </c>
      <c r="K1551" s="3" t="s">
        <v>23</v>
      </c>
    </row>
    <row r="1552" spans="1:11" ht="42" customHeight="1">
      <c r="A1552" s="2" t="s">
        <v>3865</v>
      </c>
      <c r="B1552" s="2" t="s">
        <v>3866</v>
      </c>
      <c r="C1552" s="2" t="s">
        <v>55</v>
      </c>
      <c r="D1552" s="2" t="s">
        <v>44</v>
      </c>
      <c r="E1552" s="5">
        <v>-30303</v>
      </c>
      <c r="F1552" s="3" t="s">
        <v>407</v>
      </c>
      <c r="G1552" s="3" t="s">
        <v>39</v>
      </c>
      <c r="H1552" s="2" t="s">
        <v>21</v>
      </c>
      <c r="I1552" s="2" t="s">
        <v>3867</v>
      </c>
      <c r="J1552" s="3" t="str">
        <f>HYPERLINK("https://www.boe.es/gazeta/dias/1817/01/11/pdfs/GMD-1817-5.pdf#page=5","Abrir facsímil")</f>
        <v>Abrir facsímil</v>
      </c>
      <c r="K1552" s="3" t="s">
        <v>23</v>
      </c>
    </row>
    <row r="1553" spans="1:11" ht="42" customHeight="1">
      <c r="A1553" s="2" t="s">
        <v>3868</v>
      </c>
      <c r="B1553" s="2" t="s">
        <v>3869</v>
      </c>
      <c r="C1553" s="2" t="s">
        <v>36</v>
      </c>
      <c r="D1553" s="2" t="s">
        <v>37</v>
      </c>
      <c r="E1553" s="5">
        <v>-29976</v>
      </c>
      <c r="F1553" s="3" t="s">
        <v>81</v>
      </c>
      <c r="G1553" s="3" t="s">
        <v>749</v>
      </c>
      <c r="H1553" s="2" t="s">
        <v>21</v>
      </c>
      <c r="I1553" s="2" t="s">
        <v>3870</v>
      </c>
      <c r="J1553" s="3" t="str">
        <f>HYPERLINK("https://www.boe.es/gazeta/dias/1817/12/04/pdfs/GMD-1817-145.pdf#page=5","Abrir facsímil")</f>
        <v>Abrir facsímil</v>
      </c>
      <c r="K1553" s="3" t="s">
        <v>23</v>
      </c>
    </row>
    <row r="1554" spans="1:11" ht="42" customHeight="1">
      <c r="A1554" s="2" t="s">
        <v>3868</v>
      </c>
      <c r="B1554" s="2" t="s">
        <v>3869</v>
      </c>
      <c r="C1554" s="2" t="s">
        <v>36</v>
      </c>
      <c r="D1554" s="2" t="s">
        <v>37</v>
      </c>
      <c r="E1554" s="5">
        <v>-29976</v>
      </c>
      <c r="F1554" s="3" t="s">
        <v>81</v>
      </c>
      <c r="G1554" s="3" t="s">
        <v>885</v>
      </c>
      <c r="H1554" s="2" t="s">
        <v>21</v>
      </c>
      <c r="I1554" s="2" t="s">
        <v>3871</v>
      </c>
      <c r="J1554" s="3" t="str">
        <f>HYPERLINK("https://www.boe.es/gazeta/dias/1817/12/04/pdfs/GMD-1817-145.pdf#page=6","Abrir facsímil")</f>
        <v>Abrir facsímil</v>
      </c>
      <c r="K1554" s="3" t="s">
        <v>23</v>
      </c>
    </row>
    <row r="1555" spans="1:11" ht="42" customHeight="1">
      <c r="A1555" s="2" t="s">
        <v>3872</v>
      </c>
      <c r="B1555" s="2" t="s">
        <v>3873</v>
      </c>
      <c r="C1555" s="2" t="s">
        <v>36</v>
      </c>
      <c r="D1555" s="2" t="s">
        <v>37</v>
      </c>
      <c r="E1555" s="5">
        <v>-30249</v>
      </c>
      <c r="F1555" s="3" t="s">
        <v>120</v>
      </c>
      <c r="G1555" s="3" t="s">
        <v>20</v>
      </c>
      <c r="H1555" s="2" t="s">
        <v>21</v>
      </c>
      <c r="I1555" s="2" t="s">
        <v>3874</v>
      </c>
      <c r="J1555" s="3" t="str">
        <f>HYPERLINK("https://www.boe.es/gazeta/dias/1817/03/06/pdfs/GMD-1817-28.pdf#page=7","Abrir facsímil")</f>
        <v>Abrir facsímil</v>
      </c>
      <c r="K1555" s="3" t="s">
        <v>23</v>
      </c>
    </row>
    <row r="1556" spans="1:11" ht="42" customHeight="1">
      <c r="A1556" s="2" t="s">
        <v>3875</v>
      </c>
      <c r="B1556" s="2" t="s">
        <v>3876</v>
      </c>
      <c r="C1556" s="2" t="s">
        <v>17</v>
      </c>
      <c r="D1556" s="2" t="s">
        <v>18</v>
      </c>
      <c r="E1556" s="5">
        <v>-30123</v>
      </c>
      <c r="F1556" s="3" t="s">
        <v>848</v>
      </c>
      <c r="G1556" s="3" t="s">
        <v>3877</v>
      </c>
      <c r="H1556" s="2" t="s">
        <v>21</v>
      </c>
      <c r="I1556" s="2" t="s">
        <v>3878</v>
      </c>
      <c r="J1556" s="3" t="str">
        <f>HYPERLINK("https://www.boe.es/gazeta/dias/1817/07/10/pdfs/GMD-1817-82.pdf#page=8","Abrir facsímil")</f>
        <v>Abrir facsímil</v>
      </c>
      <c r="K1556" s="3" t="s">
        <v>23</v>
      </c>
    </row>
    <row r="1557" spans="1:11" ht="42" customHeight="1">
      <c r="A1557" s="2" t="s">
        <v>3879</v>
      </c>
      <c r="B1557" s="2" t="s">
        <v>3880</v>
      </c>
      <c r="C1557" s="2" t="s">
        <v>17</v>
      </c>
      <c r="D1557" s="2" t="s">
        <v>18</v>
      </c>
      <c r="E1557" s="5">
        <v>-30233</v>
      </c>
      <c r="F1557" s="3" t="s">
        <v>577</v>
      </c>
      <c r="G1557" s="3" t="s">
        <v>578</v>
      </c>
      <c r="H1557" s="2" t="s">
        <v>21</v>
      </c>
      <c r="I1557" s="2" t="s">
        <v>3881</v>
      </c>
      <c r="J1557" s="3" t="str">
        <f>HYPERLINK("https://www.boe.es/gazeta/dias/1817/03/22/pdfs/GMD-1817-35.pdf#page=8","Abrir facsímil")</f>
        <v>Abrir facsímil</v>
      </c>
      <c r="K1557" s="3" t="s">
        <v>23</v>
      </c>
    </row>
    <row r="1558" spans="1:11" ht="42" customHeight="1">
      <c r="A1558" s="2" t="s">
        <v>3879</v>
      </c>
      <c r="B1558" s="2" t="s">
        <v>3880</v>
      </c>
      <c r="C1558" s="2" t="s">
        <v>17</v>
      </c>
      <c r="D1558" s="2" t="s">
        <v>18</v>
      </c>
      <c r="E1558" s="5">
        <v>-30125</v>
      </c>
      <c r="F1558" s="3" t="s">
        <v>102</v>
      </c>
      <c r="G1558" s="3" t="s">
        <v>103</v>
      </c>
      <c r="H1558" s="2" t="s">
        <v>21</v>
      </c>
      <c r="I1558" s="2" t="s">
        <v>3882</v>
      </c>
      <c r="J1558" s="3" t="str">
        <f>HYPERLINK("https://www.boe.es/gazeta/dias/1817/07/08/pdfs/GMD-1817-81.pdf#page=12","Abrir facsímil")</f>
        <v>Abrir facsímil</v>
      </c>
      <c r="K1558" s="3" t="s">
        <v>23</v>
      </c>
    </row>
    <row r="1559" spans="1:11" ht="42" customHeight="1">
      <c r="A1559" s="2" t="s">
        <v>3879</v>
      </c>
      <c r="B1559" s="2" t="s">
        <v>3880</v>
      </c>
      <c r="C1559" s="2" t="s">
        <v>36</v>
      </c>
      <c r="D1559" s="2" t="s">
        <v>37</v>
      </c>
      <c r="E1559" s="5">
        <v>-30109</v>
      </c>
      <c r="F1559" s="3" t="s">
        <v>205</v>
      </c>
      <c r="G1559" s="3" t="s">
        <v>282</v>
      </c>
      <c r="H1559" s="2" t="s">
        <v>21</v>
      </c>
      <c r="I1559" s="2" t="s">
        <v>3883</v>
      </c>
      <c r="J1559" s="3" t="str">
        <f>HYPERLINK("https://www.boe.es/gazeta/dias/1817/07/24/pdfs/GMD-1817-88.pdf#page=15","Abrir facsímil")</f>
        <v>Abrir facsímil</v>
      </c>
      <c r="K1559" s="3" t="s">
        <v>23</v>
      </c>
    </row>
    <row r="1560" spans="1:11" ht="42" customHeight="1">
      <c r="A1560" s="2" t="s">
        <v>3879</v>
      </c>
      <c r="B1560" s="2" t="s">
        <v>3880</v>
      </c>
      <c r="C1560" s="2" t="s">
        <v>17</v>
      </c>
      <c r="D1560" s="2" t="s">
        <v>18</v>
      </c>
      <c r="E1560" s="5">
        <v>-29988</v>
      </c>
      <c r="F1560" s="3" t="s">
        <v>569</v>
      </c>
      <c r="G1560" s="3" t="s">
        <v>314</v>
      </c>
      <c r="H1560" s="2" t="s">
        <v>21</v>
      </c>
      <c r="I1560" s="2" t="s">
        <v>3884</v>
      </c>
      <c r="J1560" s="3" t="str">
        <f>HYPERLINK("https://www.boe.es/gazeta/dias/1817/11/22/pdfs/GMD-1817-140.pdf#page=10","Abrir facsímil")</f>
        <v>Abrir facsímil</v>
      </c>
      <c r="K1560" s="3" t="s">
        <v>23</v>
      </c>
    </row>
    <row r="1561" spans="1:11" ht="42" customHeight="1">
      <c r="A1561" s="2" t="s">
        <v>3879</v>
      </c>
      <c r="B1561" s="2" t="s">
        <v>3880</v>
      </c>
      <c r="C1561" s="2" t="s">
        <v>17</v>
      </c>
      <c r="D1561" s="2" t="s">
        <v>18</v>
      </c>
      <c r="E1561" s="5">
        <v>-29974</v>
      </c>
      <c r="F1561" s="3" t="s">
        <v>32</v>
      </c>
      <c r="G1561" s="3" t="s">
        <v>57</v>
      </c>
      <c r="H1561" s="2" t="s">
        <v>21</v>
      </c>
      <c r="I1561" s="2" t="s">
        <v>3885</v>
      </c>
      <c r="J1561" s="3" t="str">
        <f>HYPERLINK("https://www.boe.es/gazeta/dias/1817/12/06/pdfs/GMD-1817-146.pdf#page=6","Abrir facsímil")</f>
        <v>Abrir facsímil</v>
      </c>
      <c r="K1561" s="3" t="s">
        <v>23</v>
      </c>
    </row>
    <row r="1562" spans="1:11" ht="42" customHeight="1">
      <c r="A1562" s="2" t="s">
        <v>3886</v>
      </c>
      <c r="B1562" s="2" t="s">
        <v>3887</v>
      </c>
      <c r="C1562" s="2" t="s">
        <v>36</v>
      </c>
      <c r="D1562" s="2" t="s">
        <v>37</v>
      </c>
      <c r="E1562" s="5">
        <v>-29995</v>
      </c>
      <c r="F1562" s="3" t="s">
        <v>514</v>
      </c>
      <c r="G1562" s="3" t="s">
        <v>57</v>
      </c>
      <c r="H1562" s="2" t="s">
        <v>21</v>
      </c>
      <c r="I1562" s="2" t="s">
        <v>3888</v>
      </c>
      <c r="J1562" s="3" t="str">
        <f>HYPERLINK("https://www.boe.es/gazeta/dias/1817/11/15/pdfs/GMD-1817-137.pdf#page=6","Abrir facsímil")</f>
        <v>Abrir facsímil</v>
      </c>
      <c r="K1562" s="3" t="s">
        <v>23</v>
      </c>
    </row>
    <row r="1563" spans="1:11" ht="42" customHeight="1">
      <c r="A1563" s="2" t="s">
        <v>3889</v>
      </c>
      <c r="B1563" s="2" t="s">
        <v>3890</v>
      </c>
      <c r="C1563" s="2" t="s">
        <v>36</v>
      </c>
      <c r="D1563" s="2" t="s">
        <v>37</v>
      </c>
      <c r="E1563" s="5">
        <v>-29950</v>
      </c>
      <c r="F1563" s="3" t="s">
        <v>185</v>
      </c>
      <c r="G1563" s="3" t="s">
        <v>39</v>
      </c>
      <c r="H1563" s="2" t="s">
        <v>21</v>
      </c>
      <c r="I1563" s="2" t="s">
        <v>3891</v>
      </c>
      <c r="J1563" s="3" t="str">
        <f>HYPERLINK("https://www.boe.es/gazeta/dias/1817/12/30/pdfs/GMD-1817-156.pdf#page=5","Abrir facsímil")</f>
        <v>Abrir facsímil</v>
      </c>
      <c r="K1563" s="3" t="s">
        <v>23</v>
      </c>
    </row>
    <row r="1564" spans="1:11" ht="42" customHeight="1">
      <c r="A1564" s="2" t="s">
        <v>3892</v>
      </c>
      <c r="B1564" s="2" t="s">
        <v>3893</v>
      </c>
      <c r="C1564" s="2" t="s">
        <v>36</v>
      </c>
      <c r="D1564" s="2" t="s">
        <v>37</v>
      </c>
      <c r="E1564" s="5">
        <v>-30249</v>
      </c>
      <c r="F1564" s="3" t="s">
        <v>120</v>
      </c>
      <c r="G1564" s="3" t="s">
        <v>20</v>
      </c>
      <c r="H1564" s="2" t="s">
        <v>21</v>
      </c>
      <c r="I1564" s="2" t="s">
        <v>3894</v>
      </c>
      <c r="J1564" s="3" t="str">
        <f>HYPERLINK("https://www.boe.es/gazeta/dias/1817/03/06/pdfs/GMD-1817-28.pdf#page=7","Abrir facsímil")</f>
        <v>Abrir facsímil</v>
      </c>
      <c r="K1564" s="3" t="s">
        <v>23</v>
      </c>
    </row>
    <row r="1565" spans="1:11" ht="42" customHeight="1">
      <c r="A1565" s="2" t="s">
        <v>3892</v>
      </c>
      <c r="B1565" s="2" t="s">
        <v>3893</v>
      </c>
      <c r="C1565" s="2" t="s">
        <v>43</v>
      </c>
      <c r="D1565" s="2" t="s">
        <v>44</v>
      </c>
      <c r="E1565" s="5">
        <v>-30013</v>
      </c>
      <c r="F1565" s="3" t="s">
        <v>464</v>
      </c>
      <c r="G1565" s="3" t="s">
        <v>39</v>
      </c>
      <c r="H1565" s="2" t="s">
        <v>21</v>
      </c>
      <c r="I1565" s="2" t="s">
        <v>3895</v>
      </c>
      <c r="J1565" s="3" t="str">
        <f>HYPERLINK("https://www.boe.es/gazeta/dias/1817/10/28/pdfs/GMD-1817-129.pdf#page=5","Abrir facsímil")</f>
        <v>Abrir facsímil</v>
      </c>
      <c r="K1565" s="3" t="s">
        <v>23</v>
      </c>
    </row>
    <row r="1566" spans="1:11" ht="42" customHeight="1">
      <c r="A1566" s="2" t="s">
        <v>3896</v>
      </c>
      <c r="B1566" s="2" t="s">
        <v>3897</v>
      </c>
      <c r="C1566" s="2" t="s">
        <v>138</v>
      </c>
      <c r="D1566" s="2" t="s">
        <v>44</v>
      </c>
      <c r="E1566" s="5">
        <v>-30160</v>
      </c>
      <c r="F1566" s="3" t="s">
        <v>116</v>
      </c>
      <c r="G1566" s="3" t="s">
        <v>567</v>
      </c>
      <c r="H1566" s="2" t="s">
        <v>21</v>
      </c>
      <c r="I1566" s="2" t="s">
        <v>3898</v>
      </c>
      <c r="J1566" s="3" t="str">
        <f>HYPERLINK("https://www.boe.es/gazeta/dias/1817/06/03/pdfs/GMD-1817-66.pdf#page=6","Abrir facsímil")</f>
        <v>Abrir facsímil</v>
      </c>
      <c r="K1566" s="3" t="s">
        <v>23</v>
      </c>
    </row>
    <row r="1567" spans="1:11" ht="42" customHeight="1">
      <c r="A1567" s="2" t="s">
        <v>3899</v>
      </c>
      <c r="B1567" s="2" t="s">
        <v>3900</v>
      </c>
      <c r="C1567" s="2" t="s">
        <v>17</v>
      </c>
      <c r="D1567" s="2" t="s">
        <v>18</v>
      </c>
      <c r="E1567" s="5">
        <v>-30291</v>
      </c>
      <c r="F1567" s="3" t="s">
        <v>1041</v>
      </c>
      <c r="G1567" s="3" t="s">
        <v>77</v>
      </c>
      <c r="H1567" s="2" t="s">
        <v>21</v>
      </c>
      <c r="I1567" s="2" t="s">
        <v>3901</v>
      </c>
      <c r="J1567" s="3" t="str">
        <f>HYPERLINK("https://www.boe.es/gazeta/dias/1817/01/23/pdfs/GMD-1817-10.pdf#page=8","Abrir facsímil")</f>
        <v>Abrir facsímil</v>
      </c>
      <c r="K1567" s="3" t="s">
        <v>23</v>
      </c>
    </row>
    <row r="1568" spans="1:11" ht="42" customHeight="1">
      <c r="A1568" s="2" t="s">
        <v>3899</v>
      </c>
      <c r="B1568" s="2" t="s">
        <v>3900</v>
      </c>
      <c r="C1568" s="2" t="s">
        <v>17</v>
      </c>
      <c r="D1568" s="2" t="s">
        <v>18</v>
      </c>
      <c r="E1568" s="5">
        <v>-30153</v>
      </c>
      <c r="F1568" s="3" t="s">
        <v>843</v>
      </c>
      <c r="G1568" s="3" t="s">
        <v>77</v>
      </c>
      <c r="H1568" s="2" t="s">
        <v>21</v>
      </c>
      <c r="I1568" s="2" t="s">
        <v>3902</v>
      </c>
      <c r="J1568" s="3" t="str">
        <f>HYPERLINK("https://www.boe.es/gazeta/dias/1817/06/10/pdfs/GMD-1817-69.pdf#page=8","Abrir facsímil")</f>
        <v>Abrir facsímil</v>
      </c>
      <c r="K1568" s="3" t="s">
        <v>23</v>
      </c>
    </row>
    <row r="1569" spans="1:11" ht="42" customHeight="1">
      <c r="A1569" s="2" t="s">
        <v>3899</v>
      </c>
      <c r="B1569" s="2" t="s">
        <v>3900</v>
      </c>
      <c r="C1569" s="2" t="s">
        <v>17</v>
      </c>
      <c r="D1569" s="2" t="s">
        <v>18</v>
      </c>
      <c r="E1569" s="5">
        <v>-30097</v>
      </c>
      <c r="F1569" s="3" t="s">
        <v>156</v>
      </c>
      <c r="G1569" s="3" t="s">
        <v>2493</v>
      </c>
      <c r="H1569" s="2" t="s">
        <v>21</v>
      </c>
      <c r="I1569" s="2" t="s">
        <v>3903</v>
      </c>
      <c r="J1569" s="3" t="str">
        <f>HYPERLINK("https://www.boe.es/gazeta/dias/1817/08/05/pdfs/GMD-1817-93.pdf#page=8","Abrir facsímil")</f>
        <v>Abrir facsímil</v>
      </c>
      <c r="K1569" s="3" t="s">
        <v>23</v>
      </c>
    </row>
    <row r="1570" spans="1:11" ht="42" customHeight="1">
      <c r="A1570" s="2" t="s">
        <v>3899</v>
      </c>
      <c r="B1570" s="2" t="s">
        <v>3900</v>
      </c>
      <c r="C1570" s="2" t="s">
        <v>17</v>
      </c>
      <c r="D1570" s="2" t="s">
        <v>18</v>
      </c>
      <c r="E1570" s="5">
        <v>-30006</v>
      </c>
      <c r="F1570" s="3" t="s">
        <v>210</v>
      </c>
      <c r="G1570" s="3" t="s">
        <v>77</v>
      </c>
      <c r="H1570" s="2" t="s">
        <v>21</v>
      </c>
      <c r="I1570" s="2" t="s">
        <v>3904</v>
      </c>
      <c r="J1570" s="3" t="str">
        <f>HYPERLINK("https://www.boe.es/gazeta/dias/1817/11/04/pdfs/GMD-1817-132.pdf#page=8","Abrir facsímil")</f>
        <v>Abrir facsímil</v>
      </c>
      <c r="K1570" s="3" t="s">
        <v>23</v>
      </c>
    </row>
    <row r="1571" spans="1:11" ht="42" customHeight="1">
      <c r="A1571" s="2" t="s">
        <v>3905</v>
      </c>
      <c r="B1571" s="2" t="s">
        <v>3906</v>
      </c>
      <c r="C1571" s="2" t="s">
        <v>49</v>
      </c>
      <c r="D1571" s="2" t="s">
        <v>44</v>
      </c>
      <c r="E1571" s="5">
        <v>-30128</v>
      </c>
      <c r="F1571" s="3" t="s">
        <v>761</v>
      </c>
      <c r="G1571" s="3" t="s">
        <v>144</v>
      </c>
      <c r="H1571" s="2" t="s">
        <v>21</v>
      </c>
      <c r="I1571" s="2" t="s">
        <v>3907</v>
      </c>
      <c r="J1571" s="3" t="str">
        <f>HYPERLINK("https://www.boe.es/gazeta/dias/1817/07/05/pdfs/GMD-1817-80.pdf#page=4","Abrir facsímil")</f>
        <v>Abrir facsímil</v>
      </c>
      <c r="K1571" s="3" t="s">
        <v>23</v>
      </c>
    </row>
    <row r="1572" spans="1:11" ht="42" customHeight="1">
      <c r="A1572" s="2" t="s">
        <v>3908</v>
      </c>
      <c r="B1572" s="2" t="s">
        <v>3909</v>
      </c>
      <c r="C1572" s="2" t="s">
        <v>36</v>
      </c>
      <c r="D1572" s="2" t="s">
        <v>37</v>
      </c>
      <c r="E1572" s="5">
        <v>-30296</v>
      </c>
      <c r="F1572" s="3" t="s">
        <v>357</v>
      </c>
      <c r="G1572" s="3" t="s">
        <v>39</v>
      </c>
      <c r="H1572" s="2" t="s">
        <v>21</v>
      </c>
      <c r="I1572" s="2" t="s">
        <v>3910</v>
      </c>
      <c r="J1572" s="3" t="str">
        <f>HYPERLINK("https://www.boe.es/gazeta/dias/1817/01/18/pdfs/GMD-1817-8.pdf#page=5","Abrir facsímil")</f>
        <v>Abrir facsímil</v>
      </c>
      <c r="K1572" s="3" t="s">
        <v>23</v>
      </c>
    </row>
    <row r="1573" spans="1:11" ht="42" customHeight="1">
      <c r="A1573" s="2" t="s">
        <v>3908</v>
      </c>
      <c r="B1573" s="2" t="s">
        <v>3909</v>
      </c>
      <c r="C1573" s="2" t="s">
        <v>36</v>
      </c>
      <c r="D1573" s="2" t="s">
        <v>37</v>
      </c>
      <c r="E1573" s="5">
        <v>-30109</v>
      </c>
      <c r="F1573" s="3" t="s">
        <v>205</v>
      </c>
      <c r="G1573" s="3" t="s">
        <v>314</v>
      </c>
      <c r="H1573" s="2" t="s">
        <v>21</v>
      </c>
      <c r="I1573" s="2" t="s">
        <v>3911</v>
      </c>
      <c r="J1573" s="3" t="str">
        <f>HYPERLINK("https://www.boe.es/gazeta/dias/1817/07/24/pdfs/GMD-1817-88.pdf#page=10","Abrir facsímil")</f>
        <v>Abrir facsímil</v>
      </c>
      <c r="K1573" s="3" t="s">
        <v>23</v>
      </c>
    </row>
    <row r="1574" spans="1:11" ht="42" customHeight="1">
      <c r="A1574" s="2" t="s">
        <v>3908</v>
      </c>
      <c r="B1574" s="2" t="s">
        <v>3909</v>
      </c>
      <c r="C1574" s="2" t="s">
        <v>36</v>
      </c>
      <c r="D1574" s="2" t="s">
        <v>37</v>
      </c>
      <c r="E1574" s="5">
        <v>-30109</v>
      </c>
      <c r="F1574" s="3" t="s">
        <v>205</v>
      </c>
      <c r="G1574" s="3" t="s">
        <v>112</v>
      </c>
      <c r="H1574" s="2" t="s">
        <v>21</v>
      </c>
      <c r="I1574" s="2" t="s">
        <v>3912</v>
      </c>
      <c r="J1574" s="3" t="str">
        <f>HYPERLINK("https://www.boe.es/gazeta/dias/1817/07/24/pdfs/GMD-1817-88.pdf#page=11","Abrir facsímil")</f>
        <v>Abrir facsímil</v>
      </c>
      <c r="K1574" s="3" t="s">
        <v>23</v>
      </c>
    </row>
    <row r="1575" spans="1:11" ht="42" customHeight="1">
      <c r="A1575" s="2" t="s">
        <v>3913</v>
      </c>
      <c r="B1575" s="2" t="s">
        <v>3914</v>
      </c>
      <c r="C1575" s="2" t="s">
        <v>43</v>
      </c>
      <c r="D1575" s="2" t="s">
        <v>44</v>
      </c>
      <c r="E1575" s="5">
        <v>-30228</v>
      </c>
      <c r="F1575" s="3" t="s">
        <v>383</v>
      </c>
      <c r="G1575" s="3" t="s">
        <v>57</v>
      </c>
      <c r="H1575" s="2" t="s">
        <v>21</v>
      </c>
      <c r="I1575" s="2" t="s">
        <v>3915</v>
      </c>
      <c r="J1575" s="3" t="str">
        <f>HYPERLINK("https://www.boe.es/gazeta/dias/1817/03/27/pdfs/GMD-1817-37.pdf#page=6","Abrir facsímil")</f>
        <v>Abrir facsímil</v>
      </c>
      <c r="K1575" s="3" t="s">
        <v>23</v>
      </c>
    </row>
    <row r="1576" spans="1:11" ht="42" customHeight="1">
      <c r="A1576" s="2" t="s">
        <v>3916</v>
      </c>
      <c r="B1576" s="2" t="s">
        <v>3917</v>
      </c>
      <c r="C1576" s="2" t="s">
        <v>17</v>
      </c>
      <c r="D1576" s="2" t="s">
        <v>18</v>
      </c>
      <c r="E1576" s="5">
        <v>-30237</v>
      </c>
      <c r="F1576" s="3" t="s">
        <v>56</v>
      </c>
      <c r="G1576" s="3" t="s">
        <v>77</v>
      </c>
      <c r="H1576" s="2" t="s">
        <v>21</v>
      </c>
      <c r="I1576" s="2" t="s">
        <v>3918</v>
      </c>
      <c r="J1576" s="3" t="str">
        <f>HYPERLINK("https://www.boe.es/gazeta/dias/1817/03/18/pdfs/GMD-1817-33.pdf#page=8","Abrir facsímil")</f>
        <v>Abrir facsímil</v>
      </c>
      <c r="K1576" s="3" t="s">
        <v>23</v>
      </c>
    </row>
    <row r="1577" spans="1:11" ht="42" customHeight="1">
      <c r="A1577" s="2" t="s">
        <v>3919</v>
      </c>
      <c r="B1577" s="2" t="s">
        <v>3920</v>
      </c>
      <c r="C1577" s="2" t="s">
        <v>17</v>
      </c>
      <c r="D1577" s="2" t="s">
        <v>18</v>
      </c>
      <c r="E1577" s="5">
        <v>-30284</v>
      </c>
      <c r="F1577" s="3" t="s">
        <v>741</v>
      </c>
      <c r="G1577" s="3" t="s">
        <v>77</v>
      </c>
      <c r="H1577" s="2" t="s">
        <v>21</v>
      </c>
      <c r="I1577" s="2" t="s">
        <v>3921</v>
      </c>
      <c r="J1577" s="3" t="str">
        <f>HYPERLINK("https://www.boe.es/gazeta/dias/1817/01/30/pdfs/GMD-1817-13.pdf#page=8","Abrir facsímil")</f>
        <v>Abrir facsímil</v>
      </c>
      <c r="K1577" s="3" t="s">
        <v>23</v>
      </c>
    </row>
    <row r="1578" spans="1:11" ht="42" customHeight="1">
      <c r="A1578" s="2" t="s">
        <v>3922</v>
      </c>
      <c r="B1578" s="2" t="s">
        <v>3923</v>
      </c>
      <c r="C1578" s="2" t="s">
        <v>97</v>
      </c>
      <c r="D1578" s="2" t="s">
        <v>44</v>
      </c>
      <c r="E1578" s="5">
        <v>-30268</v>
      </c>
      <c r="F1578" s="3" t="s">
        <v>1160</v>
      </c>
      <c r="G1578" s="3" t="s">
        <v>77</v>
      </c>
      <c r="H1578" s="2" t="s">
        <v>21</v>
      </c>
      <c r="I1578" s="2" t="s">
        <v>3924</v>
      </c>
      <c r="J1578" s="3" t="str">
        <f>HYPERLINK("https://www.boe.es/gazeta/dias/1817/02/15/pdfs/GMD-1817-20.pdf#page=8","Abrir facsímil")</f>
        <v>Abrir facsímil</v>
      </c>
      <c r="K1578" s="3" t="s">
        <v>23</v>
      </c>
    </row>
    <row r="1579" spans="1:11" ht="42" customHeight="1">
      <c r="A1579" s="2" t="s">
        <v>3925</v>
      </c>
      <c r="B1579" s="2" t="s">
        <v>3926</v>
      </c>
      <c r="C1579" s="2" t="s">
        <v>510</v>
      </c>
      <c r="D1579" s="2" t="s">
        <v>44</v>
      </c>
      <c r="E1579" s="5">
        <v>-30032</v>
      </c>
      <c r="F1579" s="3" t="s">
        <v>337</v>
      </c>
      <c r="G1579" s="3" t="s">
        <v>77</v>
      </c>
      <c r="H1579" s="2" t="s">
        <v>21</v>
      </c>
      <c r="I1579" s="2" t="s">
        <v>3927</v>
      </c>
      <c r="J1579" s="3" t="str">
        <f>HYPERLINK("https://www.boe.es/gazeta/dias/1817/10/09/pdfs/GMD-1817-121.pdf#page=8","Abrir facsímil")</f>
        <v>Abrir facsímil</v>
      </c>
      <c r="K1579" s="3" t="s">
        <v>23</v>
      </c>
    </row>
    <row r="1580" spans="1:11" ht="42" customHeight="1">
      <c r="A1580" s="2" t="s">
        <v>3928</v>
      </c>
      <c r="B1580" s="2" t="s">
        <v>3929</v>
      </c>
      <c r="C1580" s="2" t="s">
        <v>43</v>
      </c>
      <c r="D1580" s="2" t="s">
        <v>44</v>
      </c>
      <c r="E1580" s="5">
        <v>-30303</v>
      </c>
      <c r="F1580" s="3" t="s">
        <v>407</v>
      </c>
      <c r="G1580" s="3" t="s">
        <v>39</v>
      </c>
      <c r="H1580" s="2" t="s">
        <v>21</v>
      </c>
      <c r="I1580" s="2" t="s">
        <v>3930</v>
      </c>
      <c r="J1580" s="3" t="str">
        <f>HYPERLINK("https://www.boe.es/gazeta/dias/1817/01/11/pdfs/GMD-1817-5.pdf#page=5","Abrir facsímil")</f>
        <v>Abrir facsímil</v>
      </c>
      <c r="K1580" s="3" t="s">
        <v>23</v>
      </c>
    </row>
    <row r="1581" spans="1:11" ht="42" customHeight="1">
      <c r="A1581" s="2" t="s">
        <v>3931</v>
      </c>
      <c r="B1581" s="2" t="s">
        <v>3932</v>
      </c>
      <c r="C1581" s="2" t="s">
        <v>36</v>
      </c>
      <c r="D1581" s="2" t="s">
        <v>37</v>
      </c>
      <c r="E1581" s="5">
        <v>-30065</v>
      </c>
      <c r="F1581" s="3" t="s">
        <v>201</v>
      </c>
      <c r="G1581" s="3" t="s">
        <v>20</v>
      </c>
      <c r="H1581" s="2" t="s">
        <v>21</v>
      </c>
      <c r="I1581" s="2" t="s">
        <v>3933</v>
      </c>
      <c r="J1581" s="3" t="str">
        <f>HYPERLINK("https://www.boe.es/gazeta/dias/1817/09/06/pdfs/GMD-1817-107.pdf#page=7","Abrir facsímil")</f>
        <v>Abrir facsímil</v>
      </c>
      <c r="K1581" s="3" t="s">
        <v>23</v>
      </c>
    </row>
    <row r="1582" spans="1:11" ht="42" customHeight="1">
      <c r="A1582" s="2" t="s">
        <v>3934</v>
      </c>
      <c r="B1582" s="2" t="s">
        <v>3934</v>
      </c>
      <c r="C1582" s="2" t="s">
        <v>97</v>
      </c>
      <c r="D1582" s="2" t="s">
        <v>44</v>
      </c>
      <c r="E1582" s="5">
        <v>-30228</v>
      </c>
      <c r="F1582" s="3" t="s">
        <v>383</v>
      </c>
      <c r="G1582" s="3" t="s">
        <v>3935</v>
      </c>
      <c r="H1582" s="2" t="s">
        <v>21</v>
      </c>
      <c r="I1582" s="2" t="s">
        <v>3936</v>
      </c>
      <c r="J1582" s="3" t="str">
        <f>HYPERLINK("https://www.boe.es/gazeta/dias/1817/03/27/pdfs/GMD-1817-37.pdf#page=4","Abrir facsímil")</f>
        <v>Abrir facsímil</v>
      </c>
      <c r="K1582" s="3" t="s">
        <v>23</v>
      </c>
    </row>
    <row r="1583" spans="1:11" ht="42" customHeight="1">
      <c r="A1583" s="2" t="s">
        <v>3937</v>
      </c>
      <c r="B1583" s="2" t="s">
        <v>3938</v>
      </c>
      <c r="C1583" s="2" t="s">
        <v>17</v>
      </c>
      <c r="D1583" s="2" t="s">
        <v>18</v>
      </c>
      <c r="E1583" s="5">
        <v>-30303</v>
      </c>
      <c r="F1583" s="3" t="s">
        <v>407</v>
      </c>
      <c r="G1583" s="3" t="s">
        <v>77</v>
      </c>
      <c r="H1583" s="2" t="s">
        <v>21</v>
      </c>
      <c r="I1583" s="2" t="s">
        <v>3939</v>
      </c>
      <c r="J1583" s="3" t="str">
        <f>HYPERLINK("https://www.boe.es/gazeta/dias/1817/01/11/pdfs/GMD-1817-5.pdf#page=8","Abrir facsímil")</f>
        <v>Abrir facsímil</v>
      </c>
      <c r="K1583" s="3" t="s">
        <v>23</v>
      </c>
    </row>
    <row r="1584" spans="1:11" ht="42" customHeight="1">
      <c r="A1584" s="2" t="s">
        <v>3937</v>
      </c>
      <c r="B1584" s="2" t="s">
        <v>3938</v>
      </c>
      <c r="C1584" s="2" t="s">
        <v>17</v>
      </c>
      <c r="D1584" s="2" t="s">
        <v>18</v>
      </c>
      <c r="E1584" s="5">
        <v>-30200</v>
      </c>
      <c r="F1584" s="3" t="s">
        <v>725</v>
      </c>
      <c r="G1584" s="3" t="s">
        <v>77</v>
      </c>
      <c r="H1584" s="2" t="s">
        <v>21</v>
      </c>
      <c r="I1584" s="2" t="s">
        <v>3940</v>
      </c>
      <c r="J1584" s="3" t="str">
        <f>HYPERLINK("https://www.boe.es/gazeta/dias/1817/04/24/pdfs/GMD-1817-49.pdf#page=8","Abrir facsímil")</f>
        <v>Abrir facsímil</v>
      </c>
      <c r="K1584" s="3" t="s">
        <v>23</v>
      </c>
    </row>
    <row r="1585" spans="1:11" ht="42" customHeight="1">
      <c r="A1585" s="2" t="s">
        <v>3941</v>
      </c>
      <c r="B1585" s="2" t="s">
        <v>3942</v>
      </c>
      <c r="C1585" s="2" t="s">
        <v>36</v>
      </c>
      <c r="D1585" s="2" t="s">
        <v>37</v>
      </c>
      <c r="E1585" s="5">
        <v>-30151</v>
      </c>
      <c r="F1585" s="3" t="s">
        <v>1422</v>
      </c>
      <c r="G1585" s="3" t="s">
        <v>39</v>
      </c>
      <c r="H1585" s="2" t="s">
        <v>21</v>
      </c>
      <c r="I1585" s="2" t="s">
        <v>3943</v>
      </c>
      <c r="J1585" s="3" t="str">
        <f>HYPERLINK("https://www.boe.es/gazeta/dias/1817/06/12/pdfs/GMD-1817-70.pdf#page=5","Abrir facsímil")</f>
        <v>Abrir facsímil</v>
      </c>
      <c r="K1585" s="3" t="s">
        <v>23</v>
      </c>
    </row>
    <row r="1586" spans="1:11" ht="42" customHeight="1">
      <c r="A1586" s="2" t="s">
        <v>3944</v>
      </c>
      <c r="B1586" s="2" t="s">
        <v>3944</v>
      </c>
      <c r="C1586" s="2" t="s">
        <v>138</v>
      </c>
      <c r="D1586" s="2" t="s">
        <v>44</v>
      </c>
      <c r="E1586" s="5">
        <v>-30279</v>
      </c>
      <c r="F1586" s="3" t="s">
        <v>1113</v>
      </c>
      <c r="G1586" s="3" t="s">
        <v>1114</v>
      </c>
      <c r="H1586" s="2" t="s">
        <v>21</v>
      </c>
      <c r="I1586" s="2" t="s">
        <v>3945</v>
      </c>
      <c r="J1586" s="3" t="str">
        <f>HYPERLINK("https://www.boe.es/gazeta/dias/1817/02/04/pdfs/GMD-1817-15.pdf#page=6","Abrir facsímil")</f>
        <v>Abrir facsímil</v>
      </c>
      <c r="K1586" s="3" t="s">
        <v>23</v>
      </c>
    </row>
    <row r="1587" spans="1:11" ht="42" customHeight="1">
      <c r="A1587" s="2" t="s">
        <v>3944</v>
      </c>
      <c r="B1587" s="2" t="s">
        <v>3944</v>
      </c>
      <c r="C1587" s="2" t="s">
        <v>36</v>
      </c>
      <c r="D1587" s="2" t="s">
        <v>37</v>
      </c>
      <c r="E1587" s="5">
        <v>-30209</v>
      </c>
      <c r="F1587" s="3" t="s">
        <v>1478</v>
      </c>
      <c r="G1587" s="3" t="s">
        <v>77</v>
      </c>
      <c r="H1587" s="2" t="s">
        <v>21</v>
      </c>
      <c r="I1587" s="2" t="s">
        <v>3946</v>
      </c>
      <c r="J1587" s="3" t="str">
        <f>HYPERLINK("https://www.boe.es/gazeta/dias/1817/04/15/pdfs/GMD-1817-45.pdf#page=8","Abrir facsímil")</f>
        <v>Abrir facsímil</v>
      </c>
      <c r="K1587" s="3" t="s">
        <v>23</v>
      </c>
    </row>
    <row r="1588" spans="1:11" ht="42" customHeight="1">
      <c r="A1588" s="2" t="s">
        <v>3947</v>
      </c>
      <c r="B1588" s="2" t="s">
        <v>3947</v>
      </c>
      <c r="C1588" s="2" t="s">
        <v>138</v>
      </c>
      <c r="D1588" s="2" t="s">
        <v>44</v>
      </c>
      <c r="E1588" s="5">
        <v>-30284</v>
      </c>
      <c r="F1588" s="3" t="s">
        <v>741</v>
      </c>
      <c r="G1588" s="3" t="s">
        <v>77</v>
      </c>
      <c r="H1588" s="2" t="s">
        <v>21</v>
      </c>
      <c r="I1588" s="2" t="s">
        <v>3948</v>
      </c>
      <c r="J1588" s="3" t="str">
        <f>HYPERLINK("https://www.boe.es/gazeta/dias/1817/01/30/pdfs/GMD-1817-13.pdf#page=8","Abrir facsímil")</f>
        <v>Abrir facsímil</v>
      </c>
      <c r="K1588" s="3" t="s">
        <v>23</v>
      </c>
    </row>
    <row r="1589" spans="1:11" ht="42" customHeight="1">
      <c r="A1589" s="2" t="s">
        <v>3949</v>
      </c>
      <c r="B1589" s="2" t="s">
        <v>3950</v>
      </c>
      <c r="C1589" s="2" t="s">
        <v>36</v>
      </c>
      <c r="D1589" s="2" t="s">
        <v>37</v>
      </c>
      <c r="E1589" s="5">
        <v>-30062</v>
      </c>
      <c r="F1589" s="3" t="s">
        <v>444</v>
      </c>
      <c r="G1589" s="3" t="s">
        <v>691</v>
      </c>
      <c r="H1589" s="2" t="s">
        <v>21</v>
      </c>
      <c r="I1589" s="2" t="s">
        <v>3951</v>
      </c>
      <c r="J1589" s="3" t="str">
        <f>HYPERLINK("https://www.boe.es/gazeta/dias/1817/09/09/pdfs/GMD-1817-108.pdf#page=8","Abrir facsímil")</f>
        <v>Abrir facsímil</v>
      </c>
      <c r="K1589" s="3" t="s">
        <v>23</v>
      </c>
    </row>
    <row r="1590" spans="1:11" ht="42" customHeight="1">
      <c r="A1590" s="2" t="s">
        <v>3952</v>
      </c>
      <c r="B1590" s="2" t="s">
        <v>3952</v>
      </c>
      <c r="C1590" s="2" t="s">
        <v>36</v>
      </c>
      <c r="D1590" s="2" t="s">
        <v>37</v>
      </c>
      <c r="E1590" s="5">
        <v>-30104</v>
      </c>
      <c r="F1590" s="3" t="s">
        <v>856</v>
      </c>
      <c r="G1590" s="3" t="s">
        <v>39</v>
      </c>
      <c r="H1590" s="2" t="s">
        <v>21</v>
      </c>
      <c r="I1590" s="2" t="s">
        <v>3953</v>
      </c>
      <c r="J1590" s="3" t="str">
        <f>HYPERLINK("https://www.boe.es/gazeta/dias/1817/07/29/pdfs/GMD-1817-90.pdf#page=5","Abrir facsímil")</f>
        <v>Abrir facsímil</v>
      </c>
      <c r="K1590" s="3" t="s">
        <v>23</v>
      </c>
    </row>
    <row r="1591" spans="1:11" ht="42" customHeight="1">
      <c r="A1591" s="2" t="s">
        <v>3954</v>
      </c>
      <c r="B1591" s="2" t="s">
        <v>3955</v>
      </c>
      <c r="C1591" s="2" t="s">
        <v>36</v>
      </c>
      <c r="D1591" s="2" t="s">
        <v>37</v>
      </c>
      <c r="E1591" s="5">
        <v>-30104</v>
      </c>
      <c r="F1591" s="3" t="s">
        <v>856</v>
      </c>
      <c r="G1591" s="3" t="s">
        <v>39</v>
      </c>
      <c r="H1591" s="2" t="s">
        <v>21</v>
      </c>
      <c r="I1591" s="2" t="s">
        <v>3956</v>
      </c>
      <c r="J1591" s="3" t="str">
        <f>HYPERLINK("https://www.boe.es/gazeta/dias/1817/07/29/pdfs/GMD-1817-90.pdf#page=5","Abrir facsímil")</f>
        <v>Abrir facsímil</v>
      </c>
      <c r="K1591" s="3" t="s">
        <v>23</v>
      </c>
    </row>
    <row r="1592" spans="1:11" ht="42" customHeight="1">
      <c r="A1592" s="2" t="s">
        <v>3957</v>
      </c>
      <c r="B1592" s="2" t="s">
        <v>3958</v>
      </c>
      <c r="C1592" s="2" t="s">
        <v>17</v>
      </c>
      <c r="D1592" s="2" t="s">
        <v>18</v>
      </c>
      <c r="E1592" s="5">
        <v>-30223</v>
      </c>
      <c r="F1592" s="3" t="s">
        <v>627</v>
      </c>
      <c r="G1592" s="3" t="s">
        <v>1721</v>
      </c>
      <c r="H1592" s="2" t="s">
        <v>21</v>
      </c>
      <c r="I1592" s="2" t="s">
        <v>3959</v>
      </c>
      <c r="J1592" s="3" t="str">
        <f>HYPERLINK("https://www.boe.es/gazeta/dias/1817/04/01/pdfs/GMD-1817-39.pdf#page=7","Abrir facsímil")</f>
        <v>Abrir facsímil</v>
      </c>
      <c r="K1592" s="3" t="s">
        <v>23</v>
      </c>
    </row>
    <row r="1593" spans="1:11" ht="42" customHeight="1">
      <c r="A1593" s="2" t="s">
        <v>3957</v>
      </c>
      <c r="B1593" s="2" t="s">
        <v>3958</v>
      </c>
      <c r="C1593" s="2" t="s">
        <v>36</v>
      </c>
      <c r="D1593" s="2" t="s">
        <v>37</v>
      </c>
      <c r="E1593" s="5">
        <v>-30223</v>
      </c>
      <c r="F1593" s="3" t="s">
        <v>627</v>
      </c>
      <c r="G1593" s="3" t="s">
        <v>57</v>
      </c>
      <c r="H1593" s="2" t="s">
        <v>21</v>
      </c>
      <c r="I1593" s="2" t="s">
        <v>3960</v>
      </c>
      <c r="J1593" s="3" t="str">
        <f>HYPERLINK("https://www.boe.es/gazeta/dias/1817/04/01/pdfs/GMD-1817-39.pdf#page=6","Abrir facsímil")</f>
        <v>Abrir facsímil</v>
      </c>
      <c r="K1593" s="3" t="s">
        <v>23</v>
      </c>
    </row>
    <row r="1594" spans="1:11" ht="42" customHeight="1">
      <c r="A1594" s="2" t="s">
        <v>3961</v>
      </c>
      <c r="B1594" s="2" t="s">
        <v>3962</v>
      </c>
      <c r="C1594" s="2" t="s">
        <v>49</v>
      </c>
      <c r="D1594" s="2" t="s">
        <v>44</v>
      </c>
      <c r="E1594" s="5">
        <v>-30039</v>
      </c>
      <c r="F1594" s="3" t="s">
        <v>558</v>
      </c>
      <c r="G1594" s="3" t="s">
        <v>20</v>
      </c>
      <c r="H1594" s="2" t="s">
        <v>21</v>
      </c>
      <c r="I1594" s="2" t="s">
        <v>3963</v>
      </c>
      <c r="J1594" s="3" t="str">
        <f>HYPERLINK("https://www.boe.es/gazeta/dias/1817/10/02/pdfs/GMD-1817-118.pdf#page=7","Abrir facsímil")</f>
        <v>Abrir facsímil</v>
      </c>
      <c r="K1594" s="3" t="s">
        <v>23</v>
      </c>
    </row>
    <row r="1595" spans="1:11" ht="42" customHeight="1">
      <c r="A1595" s="2" t="s">
        <v>3961</v>
      </c>
      <c r="B1595" s="2" t="s">
        <v>3962</v>
      </c>
      <c r="C1595" s="2" t="s">
        <v>49</v>
      </c>
      <c r="D1595" s="2" t="s">
        <v>44</v>
      </c>
      <c r="E1595" s="5">
        <v>-30006</v>
      </c>
      <c r="F1595" s="3" t="s">
        <v>210</v>
      </c>
      <c r="G1595" s="3" t="s">
        <v>77</v>
      </c>
      <c r="H1595" s="2" t="s">
        <v>21</v>
      </c>
      <c r="I1595" s="2" t="s">
        <v>3964</v>
      </c>
      <c r="J1595" s="3" t="str">
        <f>HYPERLINK("https://www.boe.es/gazeta/dias/1817/11/04/pdfs/GMD-1817-132.pdf#page=8","Abrir facsímil")</f>
        <v>Abrir facsímil</v>
      </c>
      <c r="K1595" s="3" t="s">
        <v>23</v>
      </c>
    </row>
    <row r="1596" spans="1:11" ht="42" customHeight="1">
      <c r="A1596" s="2" t="s">
        <v>3965</v>
      </c>
      <c r="B1596" s="2" t="s">
        <v>3966</v>
      </c>
      <c r="C1596" s="2" t="s">
        <v>36</v>
      </c>
      <c r="D1596" s="2" t="s">
        <v>37</v>
      </c>
      <c r="E1596" s="5">
        <v>-30002</v>
      </c>
      <c r="F1596" s="3" t="s">
        <v>469</v>
      </c>
      <c r="G1596" s="3" t="s">
        <v>144</v>
      </c>
      <c r="H1596" s="2" t="s">
        <v>21</v>
      </c>
      <c r="I1596" s="2" t="s">
        <v>3967</v>
      </c>
      <c r="J1596" s="3" t="str">
        <f>HYPERLINK("https://www.boe.es/gazeta/dias/1817/11/08/pdfs/GMD-1817-134.pdf#page=4","Abrir facsímil")</f>
        <v>Abrir facsímil</v>
      </c>
      <c r="K1596" s="3" t="s">
        <v>23</v>
      </c>
    </row>
    <row r="1597" spans="1:11" ht="42" customHeight="1">
      <c r="A1597" s="2" t="s">
        <v>3968</v>
      </c>
      <c r="B1597" s="2" t="s">
        <v>3969</v>
      </c>
      <c r="C1597" s="2" t="s">
        <v>36</v>
      </c>
      <c r="D1597" s="2" t="s">
        <v>37</v>
      </c>
      <c r="E1597" s="5">
        <v>-30261</v>
      </c>
      <c r="F1597" s="3" t="s">
        <v>226</v>
      </c>
      <c r="G1597" s="3" t="s">
        <v>57</v>
      </c>
      <c r="H1597" s="2" t="s">
        <v>21</v>
      </c>
      <c r="I1597" s="2" t="s">
        <v>3970</v>
      </c>
      <c r="J1597" s="3" t="str">
        <f>HYPERLINK("https://www.boe.es/gazeta/dias/1817/02/22/pdfs/GMD-1817-23.pdf#page=6","Abrir facsímil")</f>
        <v>Abrir facsímil</v>
      </c>
      <c r="K1597" s="3" t="s">
        <v>23</v>
      </c>
    </row>
    <row r="1598" spans="1:11" ht="42" customHeight="1">
      <c r="A1598" s="2" t="s">
        <v>3971</v>
      </c>
      <c r="B1598" s="2" t="s">
        <v>3971</v>
      </c>
      <c r="C1598" s="2" t="s">
        <v>36</v>
      </c>
      <c r="D1598" s="2" t="s">
        <v>37</v>
      </c>
      <c r="E1598" s="5">
        <v>-30265</v>
      </c>
      <c r="F1598" s="3" t="s">
        <v>107</v>
      </c>
      <c r="G1598" s="3" t="s">
        <v>77</v>
      </c>
      <c r="H1598" s="2" t="s">
        <v>21</v>
      </c>
      <c r="I1598" s="2" t="s">
        <v>3972</v>
      </c>
      <c r="J1598" s="3" t="str">
        <f>HYPERLINK("https://www.boe.es/gazeta/dias/1817/02/18/pdfs/GMD-1817-21.pdf#page=8","Abrir facsímil")</f>
        <v>Abrir facsímil</v>
      </c>
      <c r="K1598" s="3" t="s">
        <v>23</v>
      </c>
    </row>
    <row r="1599" spans="1:11" ht="42" customHeight="1">
      <c r="A1599" s="2" t="s">
        <v>3973</v>
      </c>
      <c r="B1599" s="2" t="s">
        <v>3974</v>
      </c>
      <c r="C1599" s="2" t="s">
        <v>17</v>
      </c>
      <c r="D1599" s="2" t="s">
        <v>18</v>
      </c>
      <c r="E1599" s="5">
        <v>-30251</v>
      </c>
      <c r="F1599" s="3" t="s">
        <v>2096</v>
      </c>
      <c r="G1599" s="3" t="s">
        <v>20</v>
      </c>
      <c r="H1599" s="2" t="s">
        <v>21</v>
      </c>
      <c r="I1599" s="2" t="s">
        <v>3975</v>
      </c>
      <c r="J1599" s="3" t="str">
        <f>HYPERLINK("https://www.boe.es/gazeta/dias/1817/03/04/pdfs/GMD-1817-27.pdf#page=7","Abrir facsímil")</f>
        <v>Abrir facsímil</v>
      </c>
      <c r="K1599" s="3" t="s">
        <v>23</v>
      </c>
    </row>
    <row r="1600" spans="1:11" ht="42" customHeight="1">
      <c r="A1600" s="2" t="s">
        <v>3976</v>
      </c>
      <c r="B1600" s="2" t="s">
        <v>3977</v>
      </c>
      <c r="C1600" s="2" t="s">
        <v>17</v>
      </c>
      <c r="D1600" s="2" t="s">
        <v>18</v>
      </c>
      <c r="E1600" s="5">
        <v>-30277</v>
      </c>
      <c r="F1600" s="3" t="s">
        <v>3822</v>
      </c>
      <c r="G1600" s="3" t="s">
        <v>77</v>
      </c>
      <c r="H1600" s="2" t="s">
        <v>21</v>
      </c>
      <c r="I1600" s="2" t="s">
        <v>3978</v>
      </c>
      <c r="J1600" s="3" t="str">
        <f>HYPERLINK("https://www.boe.es/gazeta/dias/1817/02/06/pdfs/GMD-1817-16.pdf#page=8","Abrir facsímil")</f>
        <v>Abrir facsímil</v>
      </c>
      <c r="K1600" s="3" t="s">
        <v>23</v>
      </c>
    </row>
    <row r="1601" spans="1:11" ht="42" customHeight="1">
      <c r="A1601" s="2" t="s">
        <v>3979</v>
      </c>
      <c r="B1601" s="2" t="s">
        <v>3980</v>
      </c>
      <c r="C1601" s="2" t="s">
        <v>36</v>
      </c>
      <c r="D1601" s="2" t="s">
        <v>37</v>
      </c>
      <c r="E1601" s="5">
        <v>-30165</v>
      </c>
      <c r="F1601" s="3" t="s">
        <v>2040</v>
      </c>
      <c r="G1601" s="3" t="s">
        <v>77</v>
      </c>
      <c r="H1601" s="2" t="s">
        <v>21</v>
      </c>
      <c r="I1601" s="2" t="s">
        <v>3981</v>
      </c>
      <c r="J1601" s="3" t="str">
        <f>HYPERLINK("https://www.boe.es/gazeta/dias/1817/05/29/pdfs/GMD-1817-64.pdf#page=8","Abrir facsímil")</f>
        <v>Abrir facsímil</v>
      </c>
      <c r="K1601" s="3" t="s">
        <v>23</v>
      </c>
    </row>
    <row r="1602" spans="1:11" ht="42" customHeight="1">
      <c r="A1602" s="2" t="s">
        <v>3979</v>
      </c>
      <c r="B1602" s="2" t="s">
        <v>3980</v>
      </c>
      <c r="C1602" s="2" t="s">
        <v>36</v>
      </c>
      <c r="D1602" s="2" t="s">
        <v>37</v>
      </c>
      <c r="E1602" s="5">
        <v>-30065</v>
      </c>
      <c r="F1602" s="3" t="s">
        <v>201</v>
      </c>
      <c r="G1602" s="3" t="s">
        <v>77</v>
      </c>
      <c r="H1602" s="2" t="s">
        <v>21</v>
      </c>
      <c r="I1602" s="2" t="s">
        <v>3982</v>
      </c>
      <c r="J1602" s="3" t="str">
        <f>HYPERLINK("https://www.boe.es/gazeta/dias/1817/09/06/pdfs/GMD-1817-107.pdf#page=8","Abrir facsímil")</f>
        <v>Abrir facsímil</v>
      </c>
      <c r="K1602" s="3" t="s">
        <v>23</v>
      </c>
    </row>
    <row r="1603" spans="1:11" ht="42" customHeight="1">
      <c r="A1603" s="2" t="s">
        <v>3979</v>
      </c>
      <c r="B1603" s="2" t="s">
        <v>3980</v>
      </c>
      <c r="C1603" s="2" t="s">
        <v>36</v>
      </c>
      <c r="D1603" s="2" t="s">
        <v>37</v>
      </c>
      <c r="E1603" s="5">
        <v>-30013</v>
      </c>
      <c r="F1603" s="3" t="s">
        <v>464</v>
      </c>
      <c r="G1603" s="3" t="s">
        <v>77</v>
      </c>
      <c r="H1603" s="2" t="s">
        <v>21</v>
      </c>
      <c r="I1603" s="2" t="s">
        <v>3983</v>
      </c>
      <c r="J1603" s="3" t="str">
        <f>HYPERLINK("https://www.boe.es/gazeta/dias/1817/10/28/pdfs/GMD-1817-129.pdf#page=8","Abrir facsímil")</f>
        <v>Abrir facsímil</v>
      </c>
      <c r="K1603" s="3" t="s">
        <v>23</v>
      </c>
    </row>
    <row r="1604" spans="1:11" ht="42" customHeight="1">
      <c r="A1604" s="2" t="s">
        <v>3984</v>
      </c>
      <c r="B1604" s="2" t="s">
        <v>3985</v>
      </c>
      <c r="C1604" s="2" t="s">
        <v>17</v>
      </c>
      <c r="D1604" s="2" t="s">
        <v>18</v>
      </c>
      <c r="E1604" s="5">
        <v>-30151</v>
      </c>
      <c r="F1604" s="3" t="s">
        <v>1422</v>
      </c>
      <c r="G1604" s="3" t="s">
        <v>77</v>
      </c>
      <c r="H1604" s="2" t="s">
        <v>21</v>
      </c>
      <c r="I1604" s="2" t="s">
        <v>3986</v>
      </c>
      <c r="J1604" s="3" t="str">
        <f>HYPERLINK("https://www.boe.es/gazeta/dias/1817/06/12/pdfs/GMD-1817-70.pdf#page=8","Abrir facsímil")</f>
        <v>Abrir facsímil</v>
      </c>
      <c r="K1604" s="3" t="s">
        <v>23</v>
      </c>
    </row>
    <row r="1605" spans="1:11" ht="42" customHeight="1">
      <c r="A1605" s="2" t="s">
        <v>3987</v>
      </c>
      <c r="B1605" s="2" t="s">
        <v>3988</v>
      </c>
      <c r="C1605" s="2" t="s">
        <v>43</v>
      </c>
      <c r="D1605" s="2" t="s">
        <v>44</v>
      </c>
      <c r="E1605" s="5">
        <v>-29983</v>
      </c>
      <c r="F1605" s="3" t="s">
        <v>148</v>
      </c>
      <c r="G1605" s="3" t="s">
        <v>654</v>
      </c>
      <c r="H1605" s="2" t="s">
        <v>21</v>
      </c>
      <c r="I1605" s="2" t="s">
        <v>3989</v>
      </c>
      <c r="J1605" s="3" t="str">
        <f>HYPERLINK("https://www.boe.es/gazeta/dias/1817/11/27/pdfs/GMD-1817-142.pdf#page=4","Abrir facsímil")</f>
        <v>Abrir facsímil</v>
      </c>
      <c r="K1605" s="3" t="s">
        <v>23</v>
      </c>
    </row>
    <row r="1606" spans="1:11" ht="42" customHeight="1">
      <c r="A1606" s="2" t="s">
        <v>3990</v>
      </c>
      <c r="B1606" s="2" t="s">
        <v>3991</v>
      </c>
      <c r="C1606" s="2" t="s">
        <v>49</v>
      </c>
      <c r="D1606" s="2" t="s">
        <v>44</v>
      </c>
      <c r="E1606" s="5">
        <v>-30023</v>
      </c>
      <c r="F1606" s="3" t="s">
        <v>460</v>
      </c>
      <c r="G1606" s="3" t="s">
        <v>39</v>
      </c>
      <c r="H1606" s="2" t="s">
        <v>21</v>
      </c>
      <c r="I1606" s="2" t="s">
        <v>3992</v>
      </c>
      <c r="J1606" s="3" t="str">
        <f>HYPERLINK("https://www.boe.es/gazeta/dias/1817/10/18/pdfs/GMD-1817-125.pdf#page=5","Abrir facsímil")</f>
        <v>Abrir facsímil</v>
      </c>
      <c r="K1606" s="3" t="s">
        <v>23</v>
      </c>
    </row>
    <row r="1607" spans="1:11" ht="42" customHeight="1">
      <c r="A1607" s="2" t="s">
        <v>3993</v>
      </c>
      <c r="B1607" s="2" t="s">
        <v>3993</v>
      </c>
      <c r="C1607" s="2" t="s">
        <v>55</v>
      </c>
      <c r="D1607" s="2" t="s">
        <v>44</v>
      </c>
      <c r="E1607" s="5">
        <v>-30254</v>
      </c>
      <c r="F1607" s="3" t="s">
        <v>124</v>
      </c>
      <c r="G1607" s="3" t="s">
        <v>3053</v>
      </c>
      <c r="H1607" s="2" t="s">
        <v>21</v>
      </c>
      <c r="I1607" s="2" t="s">
        <v>3994</v>
      </c>
      <c r="J1607" s="3" t="str">
        <f>HYPERLINK("https://www.boe.es/gazeta/dias/1817/03/01/pdfs/GMD-1817-26.pdf#page=8","Abrir facsímil")</f>
        <v>Abrir facsímil</v>
      </c>
      <c r="K1607" s="3" t="s">
        <v>23</v>
      </c>
    </row>
    <row r="1608" spans="1:11" ht="42" customHeight="1">
      <c r="A1608" s="2" t="s">
        <v>3995</v>
      </c>
      <c r="B1608" s="2" t="s">
        <v>3996</v>
      </c>
      <c r="C1608" s="2" t="s">
        <v>55</v>
      </c>
      <c r="D1608" s="2" t="s">
        <v>44</v>
      </c>
      <c r="E1608" s="5">
        <v>-30041</v>
      </c>
      <c r="F1608" s="3" t="s">
        <v>260</v>
      </c>
      <c r="G1608" s="3" t="s">
        <v>77</v>
      </c>
      <c r="H1608" s="2" t="s">
        <v>27</v>
      </c>
      <c r="I1608" s="2" t="s">
        <v>3997</v>
      </c>
      <c r="J1608" s="3" t="str">
        <f>HYPERLINK("https://www.boe.es/gazeta/dias/1817/09/30/pdfs/GMD-1817-117.pdf#page=8","Abrir facsímil")</f>
        <v>Abrir facsímil</v>
      </c>
      <c r="K1608" s="3" t="s">
        <v>29</v>
      </c>
    </row>
    <row r="1609" spans="1:11" ht="42" customHeight="1">
      <c r="A1609" s="2" t="s">
        <v>3998</v>
      </c>
      <c r="B1609" s="2" t="s">
        <v>3998</v>
      </c>
      <c r="C1609" s="2" t="s">
        <v>17</v>
      </c>
      <c r="D1609" s="2" t="s">
        <v>18</v>
      </c>
      <c r="E1609" s="5">
        <v>-29976</v>
      </c>
      <c r="F1609" s="3" t="s">
        <v>81</v>
      </c>
      <c r="G1609" s="3" t="s">
        <v>82</v>
      </c>
      <c r="H1609" s="2" t="s">
        <v>21</v>
      </c>
      <c r="I1609" s="2" t="s">
        <v>3999</v>
      </c>
      <c r="J1609" s="3" t="str">
        <f>HYPERLINK("https://www.boe.es/gazeta/dias/1817/12/04/pdfs/GMD-1817-145.pdf#page=12","Abrir facsímil")</f>
        <v>Abrir facsímil</v>
      </c>
      <c r="K1609" s="3" t="s">
        <v>23</v>
      </c>
    </row>
    <row r="1610" spans="1:11" ht="42" customHeight="1">
      <c r="A1610" s="2" t="s">
        <v>4000</v>
      </c>
      <c r="B1610" s="2" t="s">
        <v>4000</v>
      </c>
      <c r="C1610" s="2" t="s">
        <v>36</v>
      </c>
      <c r="D1610" s="2" t="s">
        <v>37</v>
      </c>
      <c r="E1610" s="5">
        <v>-30244</v>
      </c>
      <c r="F1610" s="3" t="s">
        <v>1482</v>
      </c>
      <c r="G1610" s="3" t="s">
        <v>72</v>
      </c>
      <c r="H1610" s="2" t="s">
        <v>21</v>
      </c>
      <c r="I1610" s="2" t="s">
        <v>4001</v>
      </c>
      <c r="J1610" s="3" t="str">
        <f>HYPERLINK("https://www.boe.es/gazeta/dias/1817/03/11/pdfs/GMD-1817-30.pdf#page=1","Abrir facsímil")</f>
        <v>Abrir facsímil</v>
      </c>
      <c r="K1610" s="3" t="s">
        <v>23</v>
      </c>
    </row>
    <row r="1611" spans="1:11" ht="42" customHeight="1">
      <c r="A1611" s="2" t="s">
        <v>4002</v>
      </c>
      <c r="B1611" s="2" t="s">
        <v>4003</v>
      </c>
      <c r="C1611" s="2" t="s">
        <v>36</v>
      </c>
      <c r="D1611" s="2" t="s">
        <v>37</v>
      </c>
      <c r="E1611" s="5">
        <v>-30221</v>
      </c>
      <c r="F1611" s="3" t="s">
        <v>256</v>
      </c>
      <c r="G1611" s="3" t="s">
        <v>77</v>
      </c>
      <c r="H1611" s="2" t="s">
        <v>21</v>
      </c>
      <c r="I1611" s="2" t="s">
        <v>4004</v>
      </c>
      <c r="J1611" s="3" t="str">
        <f>HYPERLINK("https://www.boe.es/gazeta/dias/1817/04/03/pdfs/GMD-1817-40.pdf#page=8","Abrir facsímil")</f>
        <v>Abrir facsímil</v>
      </c>
      <c r="K1611" s="3" t="s">
        <v>23</v>
      </c>
    </row>
    <row r="1612" spans="1:11" ht="42" customHeight="1">
      <c r="A1612" s="2" t="s">
        <v>4005</v>
      </c>
      <c r="B1612" s="2" t="s">
        <v>4005</v>
      </c>
      <c r="C1612" s="2" t="s">
        <v>36</v>
      </c>
      <c r="D1612" s="2" t="s">
        <v>37</v>
      </c>
      <c r="E1612" s="5">
        <v>-30046</v>
      </c>
      <c r="F1612" s="3" t="s">
        <v>214</v>
      </c>
      <c r="G1612" s="3" t="s">
        <v>551</v>
      </c>
      <c r="H1612" s="2" t="s">
        <v>21</v>
      </c>
      <c r="I1612" s="2" t="s">
        <v>4006</v>
      </c>
      <c r="J1612" s="3" t="str">
        <f>HYPERLINK("https://www.boe.es/gazeta/dias/1817/09/25/pdfs/GMD-1817-115.pdf#page=3","Abrir facsímil")</f>
        <v>Abrir facsímil</v>
      </c>
      <c r="K1612" s="3" t="s">
        <v>23</v>
      </c>
    </row>
    <row r="1613" spans="1:11" ht="42" customHeight="1">
      <c r="A1613" s="2" t="s">
        <v>4007</v>
      </c>
      <c r="B1613" s="2" t="s">
        <v>4007</v>
      </c>
      <c r="C1613" s="2" t="s">
        <v>36</v>
      </c>
      <c r="D1613" s="2" t="s">
        <v>37</v>
      </c>
      <c r="E1613" s="5">
        <v>-29960</v>
      </c>
      <c r="F1613" s="3" t="s">
        <v>657</v>
      </c>
      <c r="G1613" s="3" t="s">
        <v>144</v>
      </c>
      <c r="H1613" s="2" t="s">
        <v>21</v>
      </c>
      <c r="I1613" s="2" t="s">
        <v>4008</v>
      </c>
      <c r="J1613" s="3" t="str">
        <f>HYPERLINK("https://www.boe.es/gazeta/dias/1817/12/20/pdfs/GMD-1817-152.pdf#page=4","Abrir facsímil")</f>
        <v>Abrir facsímil</v>
      </c>
      <c r="K1613" s="3" t="s">
        <v>23</v>
      </c>
    </row>
    <row r="1614" spans="1:11" ht="42" customHeight="1">
      <c r="A1614" s="2" t="s">
        <v>4009</v>
      </c>
      <c r="B1614" s="2" t="s">
        <v>4010</v>
      </c>
      <c r="C1614" s="2" t="s">
        <v>138</v>
      </c>
      <c r="D1614" s="2" t="s">
        <v>44</v>
      </c>
      <c r="E1614" s="5">
        <v>-30160</v>
      </c>
      <c r="F1614" s="3" t="s">
        <v>116</v>
      </c>
      <c r="G1614" s="3" t="s">
        <v>567</v>
      </c>
      <c r="H1614" s="2" t="s">
        <v>21</v>
      </c>
      <c r="I1614" s="2" t="s">
        <v>4011</v>
      </c>
      <c r="J1614" s="3" t="str">
        <f>HYPERLINK("https://www.boe.es/gazeta/dias/1817/06/03/pdfs/GMD-1817-66.pdf#page=6","Abrir facsímil")</f>
        <v>Abrir facsímil</v>
      </c>
      <c r="K1614" s="3" t="s">
        <v>23</v>
      </c>
    </row>
    <row r="1615" spans="1:11" ht="42" customHeight="1">
      <c r="A1615" s="2" t="s">
        <v>4012</v>
      </c>
      <c r="B1615" s="2" t="s">
        <v>4013</v>
      </c>
      <c r="C1615" s="2" t="s">
        <v>36</v>
      </c>
      <c r="D1615" s="2" t="s">
        <v>37</v>
      </c>
      <c r="E1615" s="5">
        <v>-30233</v>
      </c>
      <c r="F1615" s="3" t="s">
        <v>577</v>
      </c>
      <c r="G1615" s="3" t="s">
        <v>20</v>
      </c>
      <c r="H1615" s="2" t="s">
        <v>27</v>
      </c>
      <c r="I1615" s="2" t="s">
        <v>4014</v>
      </c>
      <c r="J1615" s="3" t="str">
        <f>HYPERLINK("https://www.boe.es/gazeta/dias/1817/03/22/pdfs/GMD-1817-35.pdf#page=7","Abrir facsímil")</f>
        <v>Abrir facsímil</v>
      </c>
      <c r="K1615" s="3" t="s">
        <v>29</v>
      </c>
    </row>
    <row r="1616" spans="1:11" ht="42" customHeight="1">
      <c r="A1616" s="2" t="s">
        <v>4015</v>
      </c>
      <c r="B1616" s="2" t="s">
        <v>4016</v>
      </c>
      <c r="C1616" s="2" t="s">
        <v>97</v>
      </c>
      <c r="D1616" s="2" t="s">
        <v>44</v>
      </c>
      <c r="E1616" s="5">
        <v>-30216</v>
      </c>
      <c r="F1616" s="3" t="s">
        <v>344</v>
      </c>
      <c r="G1616" s="3" t="s">
        <v>77</v>
      </c>
      <c r="H1616" s="2" t="s">
        <v>21</v>
      </c>
      <c r="I1616" s="2" t="s">
        <v>4017</v>
      </c>
      <c r="J1616" s="3" t="str">
        <f>HYPERLINK("https://www.boe.es/gazeta/dias/1817/04/08/pdfs/GMD-1817-42.pdf#page=8","Abrir facsímil")</f>
        <v>Abrir facsímil</v>
      </c>
      <c r="K1616" s="3" t="s">
        <v>23</v>
      </c>
    </row>
    <row r="1617" spans="1:11" ht="42" customHeight="1">
      <c r="A1617" s="2" t="s">
        <v>4018</v>
      </c>
      <c r="B1617" s="2" t="s">
        <v>4019</v>
      </c>
      <c r="C1617" s="2" t="s">
        <v>138</v>
      </c>
      <c r="D1617" s="2" t="s">
        <v>44</v>
      </c>
      <c r="E1617" s="5">
        <v>-30160</v>
      </c>
      <c r="F1617" s="3" t="s">
        <v>116</v>
      </c>
      <c r="G1617" s="3" t="s">
        <v>567</v>
      </c>
      <c r="H1617" s="2" t="s">
        <v>21</v>
      </c>
      <c r="I1617" s="2" t="s">
        <v>4020</v>
      </c>
      <c r="J1617" s="3" t="str">
        <f>HYPERLINK("https://www.boe.es/gazeta/dias/1817/06/03/pdfs/GMD-1817-66.pdf#page=6","Abrir facsímil")</f>
        <v>Abrir facsímil</v>
      </c>
      <c r="K1617" s="3" t="s">
        <v>23</v>
      </c>
    </row>
    <row r="1618" spans="1:11" ht="42" customHeight="1">
      <c r="A1618" s="2" t="s">
        <v>4021</v>
      </c>
      <c r="B1618" s="2" t="s">
        <v>4022</v>
      </c>
      <c r="C1618" s="2" t="s">
        <v>49</v>
      </c>
      <c r="D1618" s="2" t="s">
        <v>44</v>
      </c>
      <c r="E1618" s="5">
        <v>-29992</v>
      </c>
      <c r="F1618" s="3" t="s">
        <v>50</v>
      </c>
      <c r="G1618" s="3" t="s">
        <v>51</v>
      </c>
      <c r="H1618" s="2" t="s">
        <v>21</v>
      </c>
      <c r="I1618" s="2" t="s">
        <v>4023</v>
      </c>
      <c r="J1618" s="3" t="str">
        <f>HYPERLINK("https://www.boe.es/gazeta/dias/1817/11/18/pdfs/GMD-1817-138.pdf#page=8","Abrir facsímil")</f>
        <v>Abrir facsímil</v>
      </c>
      <c r="K1618" s="3" t="s">
        <v>23</v>
      </c>
    </row>
    <row r="1619" spans="1:11" ht="42" customHeight="1">
      <c r="A1619" s="2" t="s">
        <v>4024</v>
      </c>
      <c r="B1619" s="2" t="s">
        <v>4025</v>
      </c>
      <c r="C1619" s="2" t="s">
        <v>55</v>
      </c>
      <c r="D1619" s="2" t="s">
        <v>44</v>
      </c>
      <c r="E1619" s="5">
        <v>-30135</v>
      </c>
      <c r="F1619" s="3" t="s">
        <v>239</v>
      </c>
      <c r="G1619" s="3" t="s">
        <v>240</v>
      </c>
      <c r="H1619" s="2" t="s">
        <v>21</v>
      </c>
      <c r="I1619" s="2" t="s">
        <v>4026</v>
      </c>
      <c r="J1619" s="3" t="str">
        <f>HYPERLINK("https://www.boe.es/gazeta/dias/1817/06/28/pdfs/GMD-1817-77.pdf#page=7","Abrir facsímil")</f>
        <v>Abrir facsímil</v>
      </c>
      <c r="K1619" s="3" t="s">
        <v>23</v>
      </c>
    </row>
    <row r="1620" spans="1:11" ht="42" customHeight="1">
      <c r="A1620" s="2" t="s">
        <v>4027</v>
      </c>
      <c r="B1620" s="2" t="s">
        <v>4028</v>
      </c>
      <c r="C1620" s="2" t="s">
        <v>36</v>
      </c>
      <c r="D1620" s="2" t="s">
        <v>37</v>
      </c>
      <c r="E1620" s="5">
        <v>-30312</v>
      </c>
      <c r="F1620" s="3" t="s">
        <v>86</v>
      </c>
      <c r="G1620" s="3" t="s">
        <v>1684</v>
      </c>
      <c r="H1620" s="2" t="s">
        <v>21</v>
      </c>
      <c r="I1620" s="2" t="s">
        <v>4029</v>
      </c>
      <c r="J1620" s="3" t="str">
        <f>HYPERLINK("https://www.boe.es/gazeta/dias/1817/01/02/pdfs/GMD-1817-1.pdf#page=8","Abrir facsímil")</f>
        <v>Abrir facsímil</v>
      </c>
      <c r="K1620" s="3" t="s">
        <v>23</v>
      </c>
    </row>
    <row r="1621" spans="1:11" ht="42" customHeight="1">
      <c r="A1621" s="2" t="s">
        <v>4030</v>
      </c>
      <c r="B1621" s="2" t="s">
        <v>4031</v>
      </c>
      <c r="C1621" s="2" t="s">
        <v>17</v>
      </c>
      <c r="D1621" s="2" t="s">
        <v>18</v>
      </c>
      <c r="E1621" s="5">
        <v>-30261</v>
      </c>
      <c r="F1621" s="3" t="s">
        <v>226</v>
      </c>
      <c r="G1621" s="3" t="s">
        <v>39</v>
      </c>
      <c r="H1621" s="2" t="s">
        <v>21</v>
      </c>
      <c r="I1621" s="2" t="s">
        <v>4032</v>
      </c>
      <c r="J1621" s="3" t="str">
        <f>HYPERLINK("https://www.boe.es/gazeta/dias/1817/02/22/pdfs/GMD-1817-23.pdf#page=5","Abrir facsímil")</f>
        <v>Abrir facsímil</v>
      </c>
      <c r="K1621" s="3" t="s">
        <v>23</v>
      </c>
    </row>
    <row r="1622" spans="1:11" ht="42" customHeight="1">
      <c r="A1622" s="2" t="s">
        <v>4033</v>
      </c>
      <c r="B1622" s="2" t="s">
        <v>4034</v>
      </c>
      <c r="C1622" s="2" t="s">
        <v>36</v>
      </c>
      <c r="D1622" s="2" t="s">
        <v>37</v>
      </c>
      <c r="E1622" s="5">
        <v>-30011</v>
      </c>
      <c r="F1622" s="3" t="s">
        <v>313</v>
      </c>
      <c r="G1622" s="3" t="s">
        <v>57</v>
      </c>
      <c r="H1622" s="2" t="s">
        <v>21</v>
      </c>
      <c r="I1622" s="2" t="s">
        <v>4035</v>
      </c>
      <c r="J1622" s="3" t="str">
        <f>HYPERLINK("https://www.boe.es/gazeta/dias/1817/10/30/pdfs/GMD-1817-130.pdf#page=6","Abrir facsímil")</f>
        <v>Abrir facsímil</v>
      </c>
      <c r="K1622" s="3" t="s">
        <v>23</v>
      </c>
    </row>
    <row r="1623" spans="1:11" ht="42" customHeight="1">
      <c r="A1623" s="2" t="s">
        <v>4036</v>
      </c>
      <c r="B1623" s="2" t="s">
        <v>4036</v>
      </c>
      <c r="C1623" s="2" t="s">
        <v>36</v>
      </c>
      <c r="D1623" s="2" t="s">
        <v>37</v>
      </c>
      <c r="E1623" s="5">
        <v>-30174</v>
      </c>
      <c r="F1623" s="3" t="s">
        <v>19</v>
      </c>
      <c r="G1623" s="3" t="s">
        <v>39</v>
      </c>
      <c r="H1623" s="2" t="s">
        <v>21</v>
      </c>
      <c r="I1623" s="2" t="s">
        <v>4037</v>
      </c>
      <c r="J1623" s="3" t="str">
        <f>HYPERLINK("https://www.boe.es/gazeta/dias/1817/05/20/pdfs/GMD-1817-60.pdf#page=5","Abrir facsímil")</f>
        <v>Abrir facsímil</v>
      </c>
      <c r="K1623" s="3" t="s">
        <v>23</v>
      </c>
    </row>
    <row r="1624" spans="1:11" ht="42" customHeight="1">
      <c r="A1624" s="2" t="s">
        <v>4038</v>
      </c>
      <c r="B1624" s="2" t="s">
        <v>4039</v>
      </c>
      <c r="C1624" s="2" t="s">
        <v>17</v>
      </c>
      <c r="D1624" s="2" t="s">
        <v>18</v>
      </c>
      <c r="E1624" s="5">
        <v>-29985</v>
      </c>
      <c r="F1624" s="3" t="s">
        <v>76</v>
      </c>
      <c r="G1624" s="3" t="s">
        <v>112</v>
      </c>
      <c r="H1624" s="2" t="s">
        <v>21</v>
      </c>
      <c r="I1624" s="2" t="s">
        <v>4040</v>
      </c>
      <c r="J1624" s="3" t="str">
        <f>HYPERLINK("https://www.boe.es/gazeta/dias/1817/11/25/pdfs/GMD-1817-141.pdf#page=11","Abrir facsímil")</f>
        <v>Abrir facsímil</v>
      </c>
      <c r="K1624" s="3" t="s">
        <v>23</v>
      </c>
    </row>
    <row r="1625" spans="1:11" ht="42" customHeight="1">
      <c r="A1625" s="2" t="s">
        <v>4041</v>
      </c>
      <c r="B1625" s="2" t="s">
        <v>4042</v>
      </c>
      <c r="C1625" s="2" t="s">
        <v>36</v>
      </c>
      <c r="D1625" s="2" t="s">
        <v>37</v>
      </c>
      <c r="E1625" s="5">
        <v>-30013</v>
      </c>
      <c r="F1625" s="3" t="s">
        <v>464</v>
      </c>
      <c r="G1625" s="3" t="s">
        <v>77</v>
      </c>
      <c r="H1625" s="2" t="s">
        <v>21</v>
      </c>
      <c r="I1625" s="2" t="s">
        <v>4043</v>
      </c>
      <c r="J1625" s="3" t="str">
        <f>HYPERLINK("https://www.boe.es/gazeta/dias/1817/10/28/pdfs/GMD-1817-129.pdf#page=8","Abrir facsímil")</f>
        <v>Abrir facsímil</v>
      </c>
      <c r="K1625" s="3" t="s">
        <v>23</v>
      </c>
    </row>
    <row r="1626" spans="1:11" ht="42" customHeight="1">
      <c r="A1626" s="2" t="s">
        <v>4044</v>
      </c>
      <c r="B1626" s="2" t="s">
        <v>4045</v>
      </c>
      <c r="C1626" s="2" t="s">
        <v>36</v>
      </c>
      <c r="D1626" s="2" t="s">
        <v>37</v>
      </c>
      <c r="E1626" s="5">
        <v>-30109</v>
      </c>
      <c r="F1626" s="3" t="s">
        <v>205</v>
      </c>
      <c r="G1626" s="3" t="s">
        <v>4046</v>
      </c>
      <c r="H1626" s="2" t="s">
        <v>21</v>
      </c>
      <c r="I1626" s="2" t="s">
        <v>4047</v>
      </c>
      <c r="J1626" s="3" t="str">
        <f>HYPERLINK("https://www.boe.es/gazeta/dias/1817/07/24/pdfs/GMD-1817-88.pdf#page=6","Abrir facsímil")</f>
        <v>Abrir facsímil</v>
      </c>
      <c r="K1626" s="3" t="s">
        <v>23</v>
      </c>
    </row>
    <row r="1627" spans="1:11" ht="42" customHeight="1">
      <c r="A1627" s="2" t="s">
        <v>4048</v>
      </c>
      <c r="B1627" s="2" t="s">
        <v>4048</v>
      </c>
      <c r="C1627" s="2" t="s">
        <v>36</v>
      </c>
      <c r="D1627" s="2" t="s">
        <v>37</v>
      </c>
      <c r="E1627" s="5">
        <v>-30212</v>
      </c>
      <c r="F1627" s="3" t="s">
        <v>745</v>
      </c>
      <c r="G1627" s="3" t="s">
        <v>4049</v>
      </c>
      <c r="H1627" s="2" t="s">
        <v>21</v>
      </c>
      <c r="I1627" s="2" t="s">
        <v>4050</v>
      </c>
      <c r="J1627" s="3" t="str">
        <f>HYPERLINK("https://www.boe.es/gazeta/dias/1817/04/12/pdfs/GMD-1817-44.pdf#page=2","Abrir facsímil")</f>
        <v>Abrir facsímil</v>
      </c>
      <c r="K1627" s="3" t="s">
        <v>23</v>
      </c>
    </row>
    <row r="1628" spans="1:11" ht="42" customHeight="1">
      <c r="A1628" s="2" t="s">
        <v>4051</v>
      </c>
      <c r="B1628" s="2" t="s">
        <v>4052</v>
      </c>
      <c r="C1628" s="2" t="s">
        <v>55</v>
      </c>
      <c r="D1628" s="2" t="s">
        <v>44</v>
      </c>
      <c r="E1628" s="5">
        <v>-30076</v>
      </c>
      <c r="F1628" s="3" t="s">
        <v>439</v>
      </c>
      <c r="G1628" s="3" t="s">
        <v>77</v>
      </c>
      <c r="H1628" s="2" t="s">
        <v>21</v>
      </c>
      <c r="I1628" s="2" t="s">
        <v>4053</v>
      </c>
      <c r="J1628" s="3" t="str">
        <f>HYPERLINK("https://www.boe.es/gazeta/dias/1817/08/26/pdfs/GMD-1817-102.pdf#page=8","Abrir facsímil")</f>
        <v>Abrir facsímil</v>
      </c>
      <c r="K1628" s="3" t="s">
        <v>23</v>
      </c>
    </row>
    <row r="1629" spans="1:11" ht="42" customHeight="1">
      <c r="A1629" s="2" t="s">
        <v>4054</v>
      </c>
      <c r="B1629" s="2" t="s">
        <v>4055</v>
      </c>
      <c r="C1629" s="2" t="s">
        <v>36</v>
      </c>
      <c r="D1629" s="2" t="s">
        <v>37</v>
      </c>
      <c r="E1629" s="5">
        <v>-30030</v>
      </c>
      <c r="F1629" s="3" t="s">
        <v>508</v>
      </c>
      <c r="G1629" s="3" t="s">
        <v>144</v>
      </c>
      <c r="H1629" s="2" t="s">
        <v>21</v>
      </c>
      <c r="I1629" s="2" t="s">
        <v>4056</v>
      </c>
      <c r="J1629" s="3" t="str">
        <f>HYPERLINK("https://www.boe.es/gazeta/dias/1817/10/11/pdfs/GMD-1817-122.pdf#page=4","Abrir facsímil")</f>
        <v>Abrir facsímil</v>
      </c>
      <c r="K1629" s="3" t="s">
        <v>23</v>
      </c>
    </row>
    <row r="1630" spans="1:11" ht="42" customHeight="1">
      <c r="A1630" s="2" t="s">
        <v>4054</v>
      </c>
      <c r="B1630" s="2" t="s">
        <v>4055</v>
      </c>
      <c r="C1630" s="2" t="s">
        <v>36</v>
      </c>
      <c r="D1630" s="2" t="s">
        <v>37</v>
      </c>
      <c r="E1630" s="5">
        <v>-30013</v>
      </c>
      <c r="F1630" s="3" t="s">
        <v>464</v>
      </c>
      <c r="G1630" s="3" t="s">
        <v>39</v>
      </c>
      <c r="H1630" s="2" t="s">
        <v>21</v>
      </c>
      <c r="I1630" s="2" t="s">
        <v>4057</v>
      </c>
      <c r="J1630" s="3" t="str">
        <f>HYPERLINK("https://www.boe.es/gazeta/dias/1817/10/28/pdfs/GMD-1817-129.pdf#page=5","Abrir facsímil")</f>
        <v>Abrir facsímil</v>
      </c>
      <c r="K1630" s="3" t="s">
        <v>23</v>
      </c>
    </row>
    <row r="1631" spans="1:11" ht="42" customHeight="1">
      <c r="A1631" s="2" t="s">
        <v>4058</v>
      </c>
      <c r="B1631" s="2" t="s">
        <v>4059</v>
      </c>
      <c r="C1631" s="2" t="s">
        <v>43</v>
      </c>
      <c r="D1631" s="2" t="s">
        <v>44</v>
      </c>
      <c r="E1631" s="5">
        <v>-30249</v>
      </c>
      <c r="F1631" s="3" t="s">
        <v>120</v>
      </c>
      <c r="G1631" s="3" t="s">
        <v>77</v>
      </c>
      <c r="H1631" s="2" t="s">
        <v>21</v>
      </c>
      <c r="I1631" s="2" t="s">
        <v>4060</v>
      </c>
      <c r="J1631" s="3" t="str">
        <f>HYPERLINK("https://www.boe.es/gazeta/dias/1817/03/06/pdfs/GMD-1817-28.pdf#page=8","Abrir facsímil")</f>
        <v>Abrir facsímil</v>
      </c>
      <c r="K1631" s="3" t="s">
        <v>23</v>
      </c>
    </row>
    <row r="1632" spans="1:11" ht="42" customHeight="1">
      <c r="A1632" s="2" t="s">
        <v>4061</v>
      </c>
      <c r="B1632" s="2" t="s">
        <v>4062</v>
      </c>
      <c r="C1632" s="2" t="s">
        <v>36</v>
      </c>
      <c r="D1632" s="2" t="s">
        <v>37</v>
      </c>
      <c r="E1632" s="5">
        <v>-30065</v>
      </c>
      <c r="F1632" s="3" t="s">
        <v>201</v>
      </c>
      <c r="G1632" s="3" t="s">
        <v>72</v>
      </c>
      <c r="H1632" s="2" t="s">
        <v>21</v>
      </c>
      <c r="I1632" s="2" t="s">
        <v>4063</v>
      </c>
      <c r="J1632" s="3" t="str">
        <f>HYPERLINK("https://www.boe.es/gazeta/dias/1817/09/06/pdfs/GMD-1817-107.pdf#page=1","Abrir facsímil")</f>
        <v>Abrir facsímil</v>
      </c>
      <c r="K1632" s="3" t="s">
        <v>23</v>
      </c>
    </row>
    <row r="1633" spans="1:11" ht="42" customHeight="1">
      <c r="A1633" s="2" t="s">
        <v>4064</v>
      </c>
      <c r="B1633" s="2" t="s">
        <v>4065</v>
      </c>
      <c r="C1633" s="2" t="s">
        <v>43</v>
      </c>
      <c r="D1633" s="2" t="s">
        <v>44</v>
      </c>
      <c r="E1633" s="5">
        <v>-30261</v>
      </c>
      <c r="F1633" s="3" t="s">
        <v>226</v>
      </c>
      <c r="G1633" s="3" t="s">
        <v>144</v>
      </c>
      <c r="H1633" s="2" t="s">
        <v>21</v>
      </c>
      <c r="I1633" s="2" t="s">
        <v>4066</v>
      </c>
      <c r="J1633" s="3" t="str">
        <f>HYPERLINK("https://www.boe.es/gazeta/dias/1817/02/22/pdfs/GMD-1817-23.pdf#page=4","Abrir facsímil")</f>
        <v>Abrir facsímil</v>
      </c>
      <c r="K1633" s="3" t="s">
        <v>23</v>
      </c>
    </row>
    <row r="1634" spans="1:11" ht="42" customHeight="1">
      <c r="A1634" s="2" t="s">
        <v>4067</v>
      </c>
      <c r="B1634" s="2" t="s">
        <v>4068</v>
      </c>
      <c r="C1634" s="2" t="s">
        <v>55</v>
      </c>
      <c r="D1634" s="2" t="s">
        <v>44</v>
      </c>
      <c r="E1634" s="5">
        <v>-30027</v>
      </c>
      <c r="F1634" s="3" t="s">
        <v>173</v>
      </c>
      <c r="G1634" s="3" t="s">
        <v>77</v>
      </c>
      <c r="H1634" s="2" t="s">
        <v>27</v>
      </c>
      <c r="I1634" s="2" t="s">
        <v>4069</v>
      </c>
      <c r="J1634" s="3" t="str">
        <f>HYPERLINK("https://www.boe.es/gazeta/dias/1817/10/14/pdfs/GMD-1817-123.pdf#page=8","Abrir facsímil")</f>
        <v>Abrir facsímil</v>
      </c>
      <c r="K1634" s="3" t="s">
        <v>29</v>
      </c>
    </row>
    <row r="1635" spans="1:11" ht="42" customHeight="1">
      <c r="A1635" s="2" t="s">
        <v>4070</v>
      </c>
      <c r="B1635" s="2" t="s">
        <v>4071</v>
      </c>
      <c r="C1635" s="2" t="s">
        <v>43</v>
      </c>
      <c r="D1635" s="2" t="s">
        <v>44</v>
      </c>
      <c r="E1635" s="5">
        <v>-29983</v>
      </c>
      <c r="F1635" s="3" t="s">
        <v>148</v>
      </c>
      <c r="G1635" s="3" t="s">
        <v>654</v>
      </c>
      <c r="H1635" s="2" t="s">
        <v>21</v>
      </c>
      <c r="I1635" s="2" t="s">
        <v>4072</v>
      </c>
      <c r="J1635" s="3" t="str">
        <f>HYPERLINK("https://www.boe.es/gazeta/dias/1817/11/27/pdfs/GMD-1817-142.pdf#page=4","Abrir facsímil")</f>
        <v>Abrir facsímil</v>
      </c>
      <c r="K1635" s="3" t="s">
        <v>23</v>
      </c>
    </row>
    <row r="1636" spans="1:11" ht="42" customHeight="1">
      <c r="A1636" s="2" t="s">
        <v>4070</v>
      </c>
      <c r="B1636" s="2" t="s">
        <v>4071</v>
      </c>
      <c r="C1636" s="2" t="s">
        <v>36</v>
      </c>
      <c r="D1636" s="2" t="s">
        <v>37</v>
      </c>
      <c r="E1636" s="5">
        <v>-29983</v>
      </c>
      <c r="F1636" s="3" t="s">
        <v>148</v>
      </c>
      <c r="G1636" s="3" t="s">
        <v>1214</v>
      </c>
      <c r="H1636" s="2" t="s">
        <v>21</v>
      </c>
      <c r="I1636" s="2" t="s">
        <v>4073</v>
      </c>
      <c r="J1636" s="3" t="str">
        <f>HYPERLINK("https://www.boe.es/gazeta/dias/1817/11/27/pdfs/GMD-1817-142.pdf#page=5","Abrir facsímil")</f>
        <v>Abrir facsímil</v>
      </c>
      <c r="K1636" s="3" t="s">
        <v>23</v>
      </c>
    </row>
    <row r="1637" spans="1:11" ht="42" customHeight="1">
      <c r="A1637" s="2" t="s">
        <v>4074</v>
      </c>
      <c r="B1637" s="2" t="s">
        <v>4075</v>
      </c>
      <c r="C1637" s="2" t="s">
        <v>17</v>
      </c>
      <c r="D1637" s="2" t="s">
        <v>18</v>
      </c>
      <c r="E1637" s="5">
        <v>-29976</v>
      </c>
      <c r="F1637" s="3" t="s">
        <v>81</v>
      </c>
      <c r="G1637" s="3" t="s">
        <v>82</v>
      </c>
      <c r="H1637" s="2" t="s">
        <v>21</v>
      </c>
      <c r="I1637" s="2" t="s">
        <v>4076</v>
      </c>
      <c r="J1637" s="3" t="str">
        <f>HYPERLINK("https://www.boe.es/gazeta/dias/1817/12/04/pdfs/GMD-1817-145.pdf#page=12","Abrir facsímil")</f>
        <v>Abrir facsímil</v>
      </c>
      <c r="K1637" s="3" t="s">
        <v>23</v>
      </c>
    </row>
    <row r="1638" spans="1:11" ht="42" customHeight="1">
      <c r="A1638" s="2" t="s">
        <v>4077</v>
      </c>
      <c r="B1638" s="2" t="s">
        <v>4078</v>
      </c>
      <c r="C1638" s="2" t="s">
        <v>138</v>
      </c>
      <c r="D1638" s="2" t="s">
        <v>44</v>
      </c>
      <c r="E1638" s="5">
        <v>-30233</v>
      </c>
      <c r="F1638" s="3" t="s">
        <v>577</v>
      </c>
      <c r="G1638" s="3" t="s">
        <v>578</v>
      </c>
      <c r="H1638" s="2" t="s">
        <v>21</v>
      </c>
      <c r="I1638" s="2" t="s">
        <v>4079</v>
      </c>
      <c r="J1638" s="3" t="str">
        <f>HYPERLINK("https://www.boe.es/gazeta/dias/1817/03/22/pdfs/GMD-1817-35.pdf#page=8","Abrir facsímil")</f>
        <v>Abrir facsímil</v>
      </c>
      <c r="K1638" s="3" t="s">
        <v>23</v>
      </c>
    </row>
    <row r="1639" spans="1:11" ht="42" customHeight="1">
      <c r="A1639" s="2" t="s">
        <v>4077</v>
      </c>
      <c r="B1639" s="2" t="s">
        <v>4078</v>
      </c>
      <c r="C1639" s="2" t="s">
        <v>97</v>
      </c>
      <c r="D1639" s="2" t="s">
        <v>44</v>
      </c>
      <c r="E1639" s="5">
        <v>-30193</v>
      </c>
      <c r="F1639" s="3" t="s">
        <v>38</v>
      </c>
      <c r="G1639" s="3" t="s">
        <v>77</v>
      </c>
      <c r="H1639" s="2" t="s">
        <v>21</v>
      </c>
      <c r="I1639" s="2" t="s">
        <v>4080</v>
      </c>
      <c r="J1639" s="3" t="str">
        <f>HYPERLINK("https://www.boe.es/gazeta/dias/1817/05/01/pdfs/GMD-1817-52.pdf#page=8","Abrir facsímil")</f>
        <v>Abrir facsímil</v>
      </c>
      <c r="K1639" s="3" t="s">
        <v>23</v>
      </c>
    </row>
    <row r="1640" spans="1:11" ht="42" customHeight="1">
      <c r="A1640" s="2" t="s">
        <v>4077</v>
      </c>
      <c r="B1640" s="2" t="s">
        <v>4078</v>
      </c>
      <c r="C1640" s="2" t="s">
        <v>138</v>
      </c>
      <c r="D1640" s="2" t="s">
        <v>44</v>
      </c>
      <c r="E1640" s="5">
        <v>-30030</v>
      </c>
      <c r="F1640" s="3" t="s">
        <v>508</v>
      </c>
      <c r="G1640" s="3" t="s">
        <v>82</v>
      </c>
      <c r="H1640" s="2" t="s">
        <v>21</v>
      </c>
      <c r="I1640" s="2" t="s">
        <v>4081</v>
      </c>
      <c r="J1640" s="3" t="str">
        <f>HYPERLINK("https://www.boe.es/gazeta/dias/1817/10/11/pdfs/GMD-1817-122.pdf#page=12","Abrir facsímil")</f>
        <v>Abrir facsímil</v>
      </c>
      <c r="K1640" s="3" t="s">
        <v>23</v>
      </c>
    </row>
    <row r="1641" spans="1:11" ht="42" customHeight="1">
      <c r="A1641" s="2" t="s">
        <v>4082</v>
      </c>
      <c r="B1641" s="2" t="s">
        <v>4083</v>
      </c>
      <c r="C1641" s="2" t="s">
        <v>97</v>
      </c>
      <c r="D1641" s="2" t="s">
        <v>44</v>
      </c>
      <c r="E1641" s="5">
        <v>-30055</v>
      </c>
      <c r="F1641" s="3" t="s">
        <v>71</v>
      </c>
      <c r="G1641" s="3" t="s">
        <v>82</v>
      </c>
      <c r="H1641" s="2" t="s">
        <v>21</v>
      </c>
      <c r="I1641" s="2" t="s">
        <v>4084</v>
      </c>
      <c r="J1641" s="3" t="str">
        <f>HYPERLINK("https://www.boe.es/gazeta/dias/1817/09/16/pdfs/GMD-1817-111.pdf#page=12","Abrir facsímil")</f>
        <v>Abrir facsímil</v>
      </c>
      <c r="K1641" s="3" t="s">
        <v>23</v>
      </c>
    </row>
    <row r="1642" spans="1:11" ht="42" customHeight="1">
      <c r="A1642" s="2" t="s">
        <v>4085</v>
      </c>
      <c r="B1642" s="2" t="s">
        <v>4086</v>
      </c>
      <c r="C1642" s="2" t="s">
        <v>17</v>
      </c>
      <c r="D1642" s="2" t="s">
        <v>18</v>
      </c>
      <c r="E1642" s="5">
        <v>-30293</v>
      </c>
      <c r="F1642" s="3" t="s">
        <v>143</v>
      </c>
      <c r="G1642" s="3" t="s">
        <v>4087</v>
      </c>
      <c r="H1642" s="2" t="s">
        <v>27</v>
      </c>
      <c r="I1642" s="2" t="s">
        <v>4088</v>
      </c>
      <c r="J1642" s="3" t="str">
        <f>HYPERLINK("https://www.boe.es/gazeta/dias/1817/01/21/pdfs/GMD-1817-9.pdf#page=3","Abrir facsímil")</f>
        <v>Abrir facsímil</v>
      </c>
      <c r="K1642" s="3" t="s">
        <v>29</v>
      </c>
    </row>
    <row r="1643" spans="1:11" ht="42" customHeight="1">
      <c r="A1643" s="2" t="s">
        <v>4089</v>
      </c>
      <c r="B1643" s="2" t="s">
        <v>4090</v>
      </c>
      <c r="C1643" s="2" t="s">
        <v>36</v>
      </c>
      <c r="D1643" s="2" t="s">
        <v>37</v>
      </c>
      <c r="E1643" s="5">
        <v>-30114</v>
      </c>
      <c r="F1643" s="3" t="s">
        <v>500</v>
      </c>
      <c r="G1643" s="3" t="s">
        <v>77</v>
      </c>
      <c r="H1643" s="2" t="s">
        <v>21</v>
      </c>
      <c r="I1643" s="2" t="s">
        <v>4091</v>
      </c>
      <c r="J1643" s="3" t="str">
        <f>HYPERLINK("https://www.boe.es/gazeta/dias/1817/07/19/pdfs/GMD-1817-86.pdf#page=8","Abrir facsímil")</f>
        <v>Abrir facsímil</v>
      </c>
      <c r="K1643" s="3" t="s">
        <v>23</v>
      </c>
    </row>
    <row r="1644" spans="1:11" ht="42" customHeight="1">
      <c r="A1644" s="2" t="s">
        <v>4092</v>
      </c>
      <c r="B1644" s="2" t="s">
        <v>4093</v>
      </c>
      <c r="C1644" s="2" t="s">
        <v>43</v>
      </c>
      <c r="D1644" s="2" t="s">
        <v>44</v>
      </c>
      <c r="E1644" s="5">
        <v>-30130</v>
      </c>
      <c r="F1644" s="3" t="s">
        <v>768</v>
      </c>
      <c r="G1644" s="3" t="s">
        <v>144</v>
      </c>
      <c r="H1644" s="2" t="s">
        <v>27</v>
      </c>
      <c r="I1644" s="2" t="s">
        <v>4094</v>
      </c>
      <c r="J1644" s="3" t="str">
        <f>HYPERLINK("https://www.boe.es/gazeta/dias/1817/07/03/pdfs/GMD-1817-79.pdf#page=4","Abrir facsímil")</f>
        <v>Abrir facsímil</v>
      </c>
      <c r="K1644" s="3" t="s">
        <v>29</v>
      </c>
    </row>
    <row r="1645" spans="1:11" ht="42" customHeight="1">
      <c r="A1645" s="2" t="s">
        <v>4095</v>
      </c>
      <c r="B1645" s="2" t="s">
        <v>4096</v>
      </c>
      <c r="C1645" s="2" t="s">
        <v>43</v>
      </c>
      <c r="D1645" s="2" t="s">
        <v>44</v>
      </c>
      <c r="E1645" s="5">
        <v>-30013</v>
      </c>
      <c r="F1645" s="3" t="s">
        <v>464</v>
      </c>
      <c r="G1645" s="3" t="s">
        <v>39</v>
      </c>
      <c r="H1645" s="2" t="s">
        <v>21</v>
      </c>
      <c r="I1645" s="2" t="s">
        <v>4097</v>
      </c>
      <c r="J1645" s="3" t="str">
        <f>HYPERLINK("https://www.boe.es/gazeta/dias/1817/10/28/pdfs/GMD-1817-129.pdf#page=5","Abrir facsímil")</f>
        <v>Abrir facsímil</v>
      </c>
      <c r="K1645" s="3" t="s">
        <v>23</v>
      </c>
    </row>
    <row r="1646" spans="1:11" ht="42" customHeight="1">
      <c r="A1646" s="2" t="s">
        <v>4098</v>
      </c>
      <c r="B1646" s="2" t="s">
        <v>4099</v>
      </c>
      <c r="C1646" s="2" t="s">
        <v>43</v>
      </c>
      <c r="D1646" s="2" t="s">
        <v>44</v>
      </c>
      <c r="E1646" s="5">
        <v>-30013</v>
      </c>
      <c r="F1646" s="3" t="s">
        <v>464</v>
      </c>
      <c r="G1646" s="3" t="s">
        <v>39</v>
      </c>
      <c r="H1646" s="2" t="s">
        <v>21</v>
      </c>
      <c r="I1646" s="2" t="s">
        <v>4100</v>
      </c>
      <c r="J1646" s="3" t="str">
        <f>HYPERLINK("https://www.boe.es/gazeta/dias/1817/10/28/pdfs/GMD-1817-129.pdf#page=5","Abrir facsímil")</f>
        <v>Abrir facsímil</v>
      </c>
      <c r="K1646" s="3" t="s">
        <v>23</v>
      </c>
    </row>
    <row r="1647" spans="1:11" ht="42" customHeight="1">
      <c r="A1647" s="2" t="s">
        <v>4101</v>
      </c>
      <c r="B1647" s="2" t="s">
        <v>4102</v>
      </c>
      <c r="C1647" s="2" t="s">
        <v>36</v>
      </c>
      <c r="D1647" s="2" t="s">
        <v>37</v>
      </c>
      <c r="E1647" s="5">
        <v>-30158</v>
      </c>
      <c r="F1647" s="3" t="s">
        <v>305</v>
      </c>
      <c r="G1647" s="3" t="s">
        <v>20</v>
      </c>
      <c r="H1647" s="2" t="s">
        <v>21</v>
      </c>
      <c r="I1647" s="2" t="s">
        <v>4103</v>
      </c>
      <c r="J1647" s="3" t="str">
        <f>HYPERLINK("https://www.boe.es/gazeta/dias/1817/06/05/pdfs/GMD-1817-67.pdf#page=7","Abrir facsímil")</f>
        <v>Abrir facsímil</v>
      </c>
      <c r="K1647" s="3" t="s">
        <v>23</v>
      </c>
    </row>
    <row r="1648" spans="1:11" ht="42" customHeight="1">
      <c r="A1648" s="2" t="s">
        <v>4104</v>
      </c>
      <c r="B1648" s="2" t="s">
        <v>4105</v>
      </c>
      <c r="C1648" s="2" t="s">
        <v>17</v>
      </c>
      <c r="D1648" s="2" t="s">
        <v>18</v>
      </c>
      <c r="E1648" s="5">
        <v>-30130</v>
      </c>
      <c r="F1648" s="3" t="s">
        <v>768</v>
      </c>
      <c r="G1648" s="3" t="s">
        <v>39</v>
      </c>
      <c r="H1648" s="2" t="s">
        <v>21</v>
      </c>
      <c r="I1648" s="2" t="s">
        <v>4106</v>
      </c>
      <c r="J1648" s="3" t="str">
        <f>HYPERLINK("https://www.boe.es/gazeta/dias/1817/07/03/pdfs/GMD-1817-79.pdf#page=5","Abrir facsímil")</f>
        <v>Abrir facsímil</v>
      </c>
      <c r="K1648" s="3" t="s">
        <v>23</v>
      </c>
    </row>
    <row r="1649" spans="1:11" ht="42" customHeight="1">
      <c r="A1649" s="2" t="s">
        <v>4107</v>
      </c>
      <c r="B1649" s="2" t="s">
        <v>4108</v>
      </c>
      <c r="C1649" s="2" t="s">
        <v>43</v>
      </c>
      <c r="D1649" s="2" t="s">
        <v>44</v>
      </c>
      <c r="E1649" s="5">
        <v>-30305</v>
      </c>
      <c r="F1649" s="3" t="s">
        <v>405</v>
      </c>
      <c r="G1649" s="3" t="s">
        <v>77</v>
      </c>
      <c r="H1649" s="2" t="s">
        <v>21</v>
      </c>
      <c r="I1649" s="2" t="s">
        <v>4109</v>
      </c>
      <c r="J1649" s="3" t="str">
        <f>HYPERLINK("https://www.boe.es/gazeta/dias/1817/01/09/pdfs/GMD-1817-4.pdf#page=8","Abrir facsímil")</f>
        <v>Abrir facsímil</v>
      </c>
      <c r="K1649" s="3" t="s">
        <v>23</v>
      </c>
    </row>
    <row r="1650" spans="1:11" ht="42" customHeight="1">
      <c r="A1650" s="2" t="s">
        <v>4110</v>
      </c>
      <c r="B1650" s="2" t="s">
        <v>4111</v>
      </c>
      <c r="C1650" s="2" t="s">
        <v>36</v>
      </c>
      <c r="D1650" s="2" t="s">
        <v>37</v>
      </c>
      <c r="E1650" s="5">
        <v>-30207</v>
      </c>
      <c r="F1650" s="3" t="s">
        <v>1139</v>
      </c>
      <c r="G1650" s="3" t="s">
        <v>144</v>
      </c>
      <c r="H1650" s="2" t="s">
        <v>21</v>
      </c>
      <c r="I1650" s="2" t="s">
        <v>4112</v>
      </c>
      <c r="J1650" s="3" t="str">
        <f>HYPERLINK("https://www.boe.es/gazeta/dias/1817/04/17/pdfs/GMD-1817-46.pdf#page=4","Abrir facsímil")</f>
        <v>Abrir facsímil</v>
      </c>
      <c r="K1650" s="3" t="s">
        <v>23</v>
      </c>
    </row>
    <row r="1651" spans="1:11" ht="42" customHeight="1">
      <c r="A1651" s="2" t="s">
        <v>4113</v>
      </c>
      <c r="B1651" s="2" t="s">
        <v>4114</v>
      </c>
      <c r="C1651" s="2" t="s">
        <v>138</v>
      </c>
      <c r="D1651" s="2" t="s">
        <v>44</v>
      </c>
      <c r="E1651" s="5">
        <v>-30167</v>
      </c>
      <c r="F1651" s="3" t="s">
        <v>153</v>
      </c>
      <c r="G1651" s="3" t="s">
        <v>2489</v>
      </c>
      <c r="H1651" s="2" t="s">
        <v>21</v>
      </c>
      <c r="I1651" s="2" t="s">
        <v>4115</v>
      </c>
      <c r="J1651" s="3" t="str">
        <f>HYPERLINK("https://www.boe.es/gazeta/dias/1817/05/27/pdfs/GMD-1817-63.pdf#page=8","Abrir facsímil")</f>
        <v>Abrir facsímil</v>
      </c>
      <c r="K1651" s="3" t="s">
        <v>23</v>
      </c>
    </row>
    <row r="1652" spans="1:11" ht="42" customHeight="1">
      <c r="A1652" s="2" t="s">
        <v>4116</v>
      </c>
      <c r="B1652" s="2" t="s">
        <v>4116</v>
      </c>
      <c r="C1652" s="2" t="s">
        <v>510</v>
      </c>
      <c r="D1652" s="2" t="s">
        <v>44</v>
      </c>
      <c r="E1652" s="5">
        <v>-30177</v>
      </c>
      <c r="F1652" s="3" t="s">
        <v>633</v>
      </c>
      <c r="G1652" s="3" t="s">
        <v>72</v>
      </c>
      <c r="H1652" s="2" t="s">
        <v>21</v>
      </c>
      <c r="I1652" s="2" t="s">
        <v>4117</v>
      </c>
      <c r="J1652" s="3" t="str">
        <f>HYPERLINK("https://www.boe.es/gazeta/dias/1817/05/17/pdfs/GMD-1817-59.pdf#page=1","Abrir facsímil")</f>
        <v>Abrir facsímil</v>
      </c>
      <c r="K1652" s="3" t="s">
        <v>23</v>
      </c>
    </row>
    <row r="1653" spans="1:11" ht="42" customHeight="1">
      <c r="A1653" s="2" t="s">
        <v>4118</v>
      </c>
      <c r="B1653" s="2" t="s">
        <v>4118</v>
      </c>
      <c r="C1653" s="2" t="s">
        <v>17</v>
      </c>
      <c r="D1653" s="2" t="s">
        <v>18</v>
      </c>
      <c r="E1653" s="5">
        <v>-29988</v>
      </c>
      <c r="F1653" s="3" t="s">
        <v>569</v>
      </c>
      <c r="G1653" s="3" t="s">
        <v>2654</v>
      </c>
      <c r="H1653" s="2" t="s">
        <v>21</v>
      </c>
      <c r="I1653" s="2" t="s">
        <v>4119</v>
      </c>
      <c r="J1653" s="3" t="str">
        <f>HYPERLINK("https://www.boe.es/gazeta/dias/1817/11/22/pdfs/GMD-1817-140.pdf#page=12","Abrir facsímil")</f>
        <v>Abrir facsímil</v>
      </c>
      <c r="K1653" s="3" t="s">
        <v>23</v>
      </c>
    </row>
    <row r="1654" spans="1:11" ht="42" customHeight="1">
      <c r="A1654" s="2" t="s">
        <v>4120</v>
      </c>
      <c r="B1654" s="2" t="s">
        <v>4121</v>
      </c>
      <c r="C1654" s="2" t="s">
        <v>17</v>
      </c>
      <c r="D1654" s="2" t="s">
        <v>18</v>
      </c>
      <c r="E1654" s="5">
        <v>-30142</v>
      </c>
      <c r="F1654" s="3" t="s">
        <v>286</v>
      </c>
      <c r="G1654" s="3" t="s">
        <v>497</v>
      </c>
      <c r="H1654" s="2" t="s">
        <v>21</v>
      </c>
      <c r="I1654" s="2" t="s">
        <v>4122</v>
      </c>
      <c r="J1654" s="3" t="str">
        <f>HYPERLINK("https://www.boe.es/gazeta/dias/1817/06/21/pdfs/GMD-1817-74.pdf#page=8","Abrir facsímil")</f>
        <v>Abrir facsímil</v>
      </c>
      <c r="K1654" s="3" t="s">
        <v>23</v>
      </c>
    </row>
    <row r="1655" spans="1:11" ht="42" customHeight="1">
      <c r="A1655" s="2" t="s">
        <v>4123</v>
      </c>
      <c r="B1655" s="2" t="s">
        <v>4123</v>
      </c>
      <c r="C1655" s="2" t="s">
        <v>36</v>
      </c>
      <c r="D1655" s="2" t="s">
        <v>37</v>
      </c>
      <c r="E1655" s="5">
        <v>-30163</v>
      </c>
      <c r="F1655" s="3" t="s">
        <v>166</v>
      </c>
      <c r="G1655" s="3" t="s">
        <v>39</v>
      </c>
      <c r="H1655" s="2" t="s">
        <v>21</v>
      </c>
      <c r="I1655" s="2" t="s">
        <v>4124</v>
      </c>
      <c r="J1655" s="3" t="str">
        <f>HYPERLINK("https://www.boe.es/gazeta/dias/1817/05/31/pdfs/GMD-1817-65.pdf#page=5","Abrir facsímil")</f>
        <v>Abrir facsímil</v>
      </c>
      <c r="K1655" s="3" t="s">
        <v>23</v>
      </c>
    </row>
    <row r="1656" spans="1:11" ht="42" customHeight="1">
      <c r="A1656" s="2" t="s">
        <v>4125</v>
      </c>
      <c r="B1656" s="2" t="s">
        <v>4126</v>
      </c>
      <c r="C1656" s="2" t="s">
        <v>55</v>
      </c>
      <c r="D1656" s="2" t="s">
        <v>44</v>
      </c>
      <c r="E1656" s="5">
        <v>-30044</v>
      </c>
      <c r="F1656" s="3" t="s">
        <v>450</v>
      </c>
      <c r="G1656" s="3" t="s">
        <v>451</v>
      </c>
      <c r="H1656" s="2" t="s">
        <v>21</v>
      </c>
      <c r="I1656" s="2" t="s">
        <v>4127</v>
      </c>
      <c r="J1656" s="3" t="str">
        <f>HYPERLINK("https://www.boe.es/gazeta/dias/1817/09/27/pdfs/GMD-1817-116.pdf#page=8","Abrir facsímil")</f>
        <v>Abrir facsímil</v>
      </c>
      <c r="K1656" s="3" t="s">
        <v>23</v>
      </c>
    </row>
    <row r="1657" spans="1:11" ht="42" customHeight="1">
      <c r="A1657" s="2" t="s">
        <v>4128</v>
      </c>
      <c r="B1657" s="2" t="s">
        <v>4129</v>
      </c>
      <c r="C1657" s="2" t="s">
        <v>97</v>
      </c>
      <c r="D1657" s="2" t="s">
        <v>44</v>
      </c>
      <c r="E1657" s="5">
        <v>-30051</v>
      </c>
      <c r="F1657" s="3" t="s">
        <v>26</v>
      </c>
      <c r="G1657" s="3" t="s">
        <v>77</v>
      </c>
      <c r="H1657" s="2" t="s">
        <v>21</v>
      </c>
      <c r="I1657" s="2" t="s">
        <v>4130</v>
      </c>
      <c r="J1657" s="3" t="str">
        <f>HYPERLINK("https://www.boe.es/gazeta/dias/1817/09/20/pdfs/GMD-1817-113.pdf#page=8","Abrir facsímil")</f>
        <v>Abrir facsímil</v>
      </c>
      <c r="K1657" s="3" t="s">
        <v>23</v>
      </c>
    </row>
    <row r="1658" spans="1:11" ht="42" customHeight="1">
      <c r="A1658" s="2" t="s">
        <v>4128</v>
      </c>
      <c r="B1658" s="2" t="s">
        <v>4129</v>
      </c>
      <c r="C1658" s="2" t="s">
        <v>138</v>
      </c>
      <c r="D1658" s="2" t="s">
        <v>44</v>
      </c>
      <c r="E1658" s="5">
        <v>-30009</v>
      </c>
      <c r="F1658" s="3" t="s">
        <v>512</v>
      </c>
      <c r="G1658" s="3" t="s">
        <v>77</v>
      </c>
      <c r="H1658" s="2" t="s">
        <v>21</v>
      </c>
      <c r="I1658" s="2" t="s">
        <v>4131</v>
      </c>
      <c r="J1658" s="3" t="str">
        <f>HYPERLINK("https://www.boe.es/gazeta/dias/1817/11/01/pdfs/GMD-1817-131.pdf#page=8","Abrir facsímil")</f>
        <v>Abrir facsímil</v>
      </c>
      <c r="K1658" s="3" t="s">
        <v>23</v>
      </c>
    </row>
    <row r="1659" spans="1:11" ht="42" customHeight="1">
      <c r="A1659" s="2" t="s">
        <v>4132</v>
      </c>
      <c r="B1659" s="2" t="s">
        <v>4133</v>
      </c>
      <c r="C1659" s="2" t="s">
        <v>17</v>
      </c>
      <c r="D1659" s="2" t="s">
        <v>18</v>
      </c>
      <c r="E1659" s="5">
        <v>-30205</v>
      </c>
      <c r="F1659" s="3" t="s">
        <v>139</v>
      </c>
      <c r="G1659" s="3" t="s">
        <v>77</v>
      </c>
      <c r="H1659" s="2" t="s">
        <v>21</v>
      </c>
      <c r="I1659" s="2" t="s">
        <v>4134</v>
      </c>
      <c r="J1659" s="3" t="str">
        <f>HYPERLINK("https://www.boe.es/gazeta/dias/1817/04/19/pdfs/GMD-1817-47.pdf#page=8","Abrir facsímil")</f>
        <v>Abrir facsímil</v>
      </c>
      <c r="K1659" s="3" t="s">
        <v>23</v>
      </c>
    </row>
    <row r="1660" spans="1:11" ht="42" customHeight="1">
      <c r="A1660" s="2" t="s">
        <v>4135</v>
      </c>
      <c r="B1660" s="2" t="s">
        <v>4136</v>
      </c>
      <c r="C1660" s="2" t="s">
        <v>17</v>
      </c>
      <c r="D1660" s="2" t="s">
        <v>18</v>
      </c>
      <c r="E1660" s="5">
        <v>-30102</v>
      </c>
      <c r="F1660" s="3" t="s">
        <v>502</v>
      </c>
      <c r="G1660" s="3" t="s">
        <v>20</v>
      </c>
      <c r="H1660" s="2" t="s">
        <v>21</v>
      </c>
      <c r="I1660" s="2" t="s">
        <v>4137</v>
      </c>
      <c r="J1660" s="3" t="str">
        <f>HYPERLINK("https://www.boe.es/gazeta/dias/1817/07/31/pdfs/GMD-1817-91.pdf#page=7","Abrir facsímil")</f>
        <v>Abrir facsímil</v>
      </c>
      <c r="K1660" s="3" t="s">
        <v>23</v>
      </c>
    </row>
    <row r="1661" spans="1:11" ht="42" customHeight="1">
      <c r="A1661" s="2" t="s">
        <v>4138</v>
      </c>
      <c r="B1661" s="2" t="s">
        <v>4139</v>
      </c>
      <c r="C1661" s="2" t="s">
        <v>17</v>
      </c>
      <c r="D1661" s="2" t="s">
        <v>18</v>
      </c>
      <c r="E1661" s="5">
        <v>-30135</v>
      </c>
      <c r="F1661" s="3" t="s">
        <v>239</v>
      </c>
      <c r="G1661" s="3" t="s">
        <v>2853</v>
      </c>
      <c r="H1661" s="2" t="s">
        <v>21</v>
      </c>
      <c r="I1661" s="2" t="s">
        <v>4140</v>
      </c>
      <c r="J1661" s="3" t="str">
        <f>HYPERLINK("https://www.boe.es/gazeta/dias/1817/06/28/pdfs/GMD-1817-77.pdf#page=6","Abrir facsímil")</f>
        <v>Abrir facsímil</v>
      </c>
      <c r="K1661" s="3" t="s">
        <v>23</v>
      </c>
    </row>
    <row r="1662" spans="1:11" ht="42" customHeight="1">
      <c r="A1662" s="2" t="s">
        <v>4141</v>
      </c>
      <c r="B1662" s="2" t="s">
        <v>4142</v>
      </c>
      <c r="C1662" s="2" t="s">
        <v>43</v>
      </c>
      <c r="D1662" s="2" t="s">
        <v>44</v>
      </c>
      <c r="E1662" s="5">
        <v>-30256</v>
      </c>
      <c r="F1662" s="3" t="s">
        <v>302</v>
      </c>
      <c r="G1662" s="3" t="s">
        <v>77</v>
      </c>
      <c r="H1662" s="2" t="s">
        <v>21</v>
      </c>
      <c r="I1662" s="2" t="s">
        <v>4143</v>
      </c>
      <c r="J1662" s="3" t="str">
        <f>HYPERLINK("https://www.boe.es/gazeta/dias/1817/02/27/pdfs/GMD-1817-25.pdf#page=8","Abrir facsímil")</f>
        <v>Abrir facsímil</v>
      </c>
      <c r="K1662" s="3" t="s">
        <v>23</v>
      </c>
    </row>
    <row r="1663" spans="1:11" ht="42" customHeight="1">
      <c r="A1663" s="2" t="s">
        <v>4141</v>
      </c>
      <c r="B1663" s="2" t="s">
        <v>4142</v>
      </c>
      <c r="C1663" s="2" t="s">
        <v>17</v>
      </c>
      <c r="D1663" s="2" t="s">
        <v>18</v>
      </c>
      <c r="E1663" s="5">
        <v>-30151</v>
      </c>
      <c r="F1663" s="3" t="s">
        <v>1422</v>
      </c>
      <c r="G1663" s="3" t="s">
        <v>4144</v>
      </c>
      <c r="H1663" s="2" t="s">
        <v>21</v>
      </c>
      <c r="I1663" s="2" t="s">
        <v>4145</v>
      </c>
      <c r="J1663" s="3" t="str">
        <f>HYPERLINK("https://www.boe.es/gazeta/dias/1817/06/12/pdfs/GMD-1817-70.pdf#page=4","Abrir facsímil")</f>
        <v>Abrir facsímil</v>
      </c>
      <c r="K1663" s="3" t="s">
        <v>23</v>
      </c>
    </row>
    <row r="1664" spans="1:11" ht="42" customHeight="1">
      <c r="A1664" s="2" t="s">
        <v>4146</v>
      </c>
      <c r="B1664" s="2" t="s">
        <v>4147</v>
      </c>
      <c r="C1664" s="2" t="s">
        <v>17</v>
      </c>
      <c r="D1664" s="2" t="s">
        <v>18</v>
      </c>
      <c r="E1664" s="5">
        <v>-30293</v>
      </c>
      <c r="F1664" s="3" t="s">
        <v>143</v>
      </c>
      <c r="G1664" s="3" t="s">
        <v>4087</v>
      </c>
      <c r="H1664" s="2" t="s">
        <v>21</v>
      </c>
      <c r="I1664" s="2" t="s">
        <v>4148</v>
      </c>
      <c r="J1664" s="3" t="str">
        <f>HYPERLINK("https://www.boe.es/gazeta/dias/1817/01/21/pdfs/GMD-1817-9.pdf#page=3","Abrir facsímil")</f>
        <v>Abrir facsímil</v>
      </c>
      <c r="K1664" s="3" t="s">
        <v>23</v>
      </c>
    </row>
    <row r="1665" spans="1:11" ht="42" customHeight="1">
      <c r="A1665" s="2" t="s">
        <v>4149</v>
      </c>
      <c r="B1665" s="2" t="s">
        <v>4150</v>
      </c>
      <c r="C1665" s="2" t="s">
        <v>36</v>
      </c>
      <c r="D1665" s="2" t="s">
        <v>37</v>
      </c>
      <c r="E1665" s="5">
        <v>-30300</v>
      </c>
      <c r="F1665" s="3" t="s">
        <v>164</v>
      </c>
      <c r="G1665" s="3" t="s">
        <v>57</v>
      </c>
      <c r="H1665" s="2" t="s">
        <v>21</v>
      </c>
      <c r="I1665" s="2" t="s">
        <v>4151</v>
      </c>
      <c r="J1665" s="3" t="str">
        <f>HYPERLINK("https://www.boe.es/gazeta/dias/1817/01/14/pdfs/GMD-1817-6.pdf#page=6","Abrir facsímil")</f>
        <v>Abrir facsímil</v>
      </c>
      <c r="K1665" s="3" t="s">
        <v>23</v>
      </c>
    </row>
    <row r="1666" spans="1:11" ht="42" customHeight="1">
      <c r="A1666" s="2" t="s">
        <v>4152</v>
      </c>
      <c r="B1666" s="2" t="s">
        <v>4153</v>
      </c>
      <c r="C1666" s="2" t="s">
        <v>36</v>
      </c>
      <c r="D1666" s="2" t="s">
        <v>37</v>
      </c>
      <c r="E1666" s="5">
        <v>-30198</v>
      </c>
      <c r="F1666" s="3" t="s">
        <v>2185</v>
      </c>
      <c r="G1666" s="3" t="s">
        <v>2429</v>
      </c>
      <c r="H1666" s="2" t="s">
        <v>21</v>
      </c>
      <c r="I1666" s="2" t="s">
        <v>4154</v>
      </c>
      <c r="J1666" s="3" t="str">
        <f>HYPERLINK("https://www.boe.es/gazeta/dias/1817/04/26/pdfs/GMD-1817-50.pdf#page=7","Abrir facsímil")</f>
        <v>Abrir facsímil</v>
      </c>
      <c r="K1666" s="3" t="s">
        <v>23</v>
      </c>
    </row>
    <row r="1667" spans="1:11" ht="42" customHeight="1">
      <c r="A1667" s="2" t="s">
        <v>4155</v>
      </c>
      <c r="B1667" s="2" t="s">
        <v>4156</v>
      </c>
      <c r="C1667" s="2" t="s">
        <v>55</v>
      </c>
      <c r="D1667" s="2" t="s">
        <v>44</v>
      </c>
      <c r="E1667" s="5">
        <v>-30240</v>
      </c>
      <c r="F1667" s="3" t="s">
        <v>347</v>
      </c>
      <c r="G1667" s="3" t="s">
        <v>77</v>
      </c>
      <c r="H1667" s="2" t="s">
        <v>21</v>
      </c>
      <c r="I1667" s="2" t="s">
        <v>4157</v>
      </c>
      <c r="J1667" s="3" t="str">
        <f>HYPERLINK("https://www.boe.es/gazeta/dias/1817/03/15/pdfs/GMD-1817-32.pdf#page=8","Abrir facsímil")</f>
        <v>Abrir facsímil</v>
      </c>
      <c r="K1667" s="3" t="s">
        <v>23</v>
      </c>
    </row>
    <row r="1668" spans="1:11" ht="42" customHeight="1">
      <c r="A1668" s="2" t="s">
        <v>4155</v>
      </c>
      <c r="B1668" s="2" t="s">
        <v>4156</v>
      </c>
      <c r="C1668" s="2" t="s">
        <v>17</v>
      </c>
      <c r="D1668" s="2" t="s">
        <v>18</v>
      </c>
      <c r="E1668" s="5">
        <v>-30065</v>
      </c>
      <c r="F1668" s="3" t="s">
        <v>201</v>
      </c>
      <c r="G1668" s="3" t="s">
        <v>57</v>
      </c>
      <c r="H1668" s="2" t="s">
        <v>21</v>
      </c>
      <c r="I1668" s="2" t="s">
        <v>4158</v>
      </c>
      <c r="J1668" s="3" t="str">
        <f>HYPERLINK("https://www.boe.es/gazeta/dias/1817/09/06/pdfs/GMD-1817-107.pdf#page=6","Abrir facsímil")</f>
        <v>Abrir facsímil</v>
      </c>
      <c r="K1668" s="3" t="s">
        <v>23</v>
      </c>
    </row>
    <row r="1669" spans="1:11" ht="42" customHeight="1">
      <c r="A1669" s="2" t="s">
        <v>4159</v>
      </c>
      <c r="B1669" s="2" t="s">
        <v>4160</v>
      </c>
      <c r="C1669" s="2" t="s">
        <v>43</v>
      </c>
      <c r="D1669" s="2" t="s">
        <v>44</v>
      </c>
      <c r="E1669" s="5">
        <v>-30312</v>
      </c>
      <c r="F1669" s="3" t="s">
        <v>86</v>
      </c>
      <c r="G1669" s="3" t="s">
        <v>39</v>
      </c>
      <c r="H1669" s="2" t="s">
        <v>21</v>
      </c>
      <c r="I1669" s="2" t="s">
        <v>4161</v>
      </c>
      <c r="J1669" s="3" t="str">
        <f>HYPERLINK("https://www.boe.es/gazeta/dias/1817/01/02/pdfs/GMD-1817-1.pdf#page=5","Abrir facsímil")</f>
        <v>Abrir facsímil</v>
      </c>
      <c r="K1669" s="3" t="s">
        <v>23</v>
      </c>
    </row>
    <row r="1670" spans="1:11" ht="42" customHeight="1">
      <c r="A1670" s="2" t="s">
        <v>4162</v>
      </c>
      <c r="B1670" s="2" t="s">
        <v>4163</v>
      </c>
      <c r="C1670" s="2" t="s">
        <v>43</v>
      </c>
      <c r="D1670" s="2" t="s">
        <v>44</v>
      </c>
      <c r="E1670" s="5">
        <v>-30261</v>
      </c>
      <c r="F1670" s="3" t="s">
        <v>226</v>
      </c>
      <c r="G1670" s="3" t="s">
        <v>20</v>
      </c>
      <c r="H1670" s="2" t="s">
        <v>21</v>
      </c>
      <c r="I1670" s="2" t="s">
        <v>4164</v>
      </c>
      <c r="J1670" s="3" t="str">
        <f>HYPERLINK("https://www.boe.es/gazeta/dias/1817/02/22/pdfs/GMD-1817-23.pdf#page=7","Abrir facsímil")</f>
        <v>Abrir facsímil</v>
      </c>
      <c r="K1670" s="3" t="s">
        <v>23</v>
      </c>
    </row>
    <row r="1671" spans="1:11" ht="42" customHeight="1">
      <c r="A1671" s="2" t="s">
        <v>4165</v>
      </c>
      <c r="B1671" s="2" t="s">
        <v>4166</v>
      </c>
      <c r="C1671" s="2" t="s">
        <v>36</v>
      </c>
      <c r="D1671" s="2" t="s">
        <v>37</v>
      </c>
      <c r="E1671" s="5">
        <v>-30275</v>
      </c>
      <c r="F1671" s="3" t="s">
        <v>1025</v>
      </c>
      <c r="G1671" s="3" t="s">
        <v>77</v>
      </c>
      <c r="H1671" s="2" t="s">
        <v>21</v>
      </c>
      <c r="I1671" s="2" t="s">
        <v>4167</v>
      </c>
      <c r="J1671" s="3" t="str">
        <f>HYPERLINK("https://www.boe.es/gazeta/dias/1817/02/08/pdfs/GMD-1817-17.pdf#page=8","Abrir facsímil")</f>
        <v>Abrir facsímil</v>
      </c>
      <c r="K1671" s="3" t="s">
        <v>23</v>
      </c>
    </row>
    <row r="1672" spans="1:11" ht="42" customHeight="1">
      <c r="A1672" s="2" t="s">
        <v>4165</v>
      </c>
      <c r="B1672" s="2" t="s">
        <v>4166</v>
      </c>
      <c r="C1672" s="2" t="s">
        <v>49</v>
      </c>
      <c r="D1672" s="2" t="s">
        <v>44</v>
      </c>
      <c r="E1672" s="5">
        <v>-30207</v>
      </c>
      <c r="F1672" s="3" t="s">
        <v>1139</v>
      </c>
      <c r="G1672" s="3" t="s">
        <v>1140</v>
      </c>
      <c r="H1672" s="2" t="s">
        <v>21</v>
      </c>
      <c r="I1672" s="2" t="s">
        <v>4168</v>
      </c>
      <c r="J1672" s="3" t="str">
        <f>HYPERLINK("https://www.boe.es/gazeta/dias/1817/04/17/pdfs/GMD-1817-46.pdf#page=8","Abrir facsímil")</f>
        <v>Abrir facsímil</v>
      </c>
      <c r="K1672" s="3" t="s">
        <v>23</v>
      </c>
    </row>
    <row r="1673" spans="1:11" ht="42" customHeight="1">
      <c r="A1673" s="2" t="s">
        <v>4169</v>
      </c>
      <c r="B1673" s="2" t="s">
        <v>4170</v>
      </c>
      <c r="C1673" s="2" t="s">
        <v>43</v>
      </c>
      <c r="D1673" s="2" t="s">
        <v>44</v>
      </c>
      <c r="E1673" s="5">
        <v>-30013</v>
      </c>
      <c r="F1673" s="3" t="s">
        <v>464</v>
      </c>
      <c r="G1673" s="3" t="s">
        <v>39</v>
      </c>
      <c r="H1673" s="2" t="s">
        <v>21</v>
      </c>
      <c r="I1673" s="2" t="s">
        <v>4171</v>
      </c>
      <c r="J1673" s="3" t="str">
        <f>HYPERLINK("https://www.boe.es/gazeta/dias/1817/10/28/pdfs/GMD-1817-129.pdf#page=5","Abrir facsímil")</f>
        <v>Abrir facsímil</v>
      </c>
      <c r="K1673" s="3" t="s">
        <v>23</v>
      </c>
    </row>
    <row r="1674" spans="1:11" ht="42" customHeight="1">
      <c r="A1674" s="2" t="s">
        <v>4172</v>
      </c>
      <c r="B1674" s="2" t="s">
        <v>4173</v>
      </c>
      <c r="C1674" s="2" t="s">
        <v>36</v>
      </c>
      <c r="D1674" s="2" t="s">
        <v>37</v>
      </c>
      <c r="E1674" s="5">
        <v>-30104</v>
      </c>
      <c r="F1674" s="3" t="s">
        <v>856</v>
      </c>
      <c r="G1674" s="3" t="s">
        <v>39</v>
      </c>
      <c r="H1674" s="2" t="s">
        <v>21</v>
      </c>
      <c r="I1674" s="2" t="s">
        <v>4174</v>
      </c>
      <c r="J1674" s="3" t="str">
        <f>HYPERLINK("https://www.boe.es/gazeta/dias/1817/07/29/pdfs/GMD-1817-90.pdf#page=5","Abrir facsímil")</f>
        <v>Abrir facsímil</v>
      </c>
      <c r="K1674" s="3" t="s">
        <v>23</v>
      </c>
    </row>
    <row r="1675" spans="1:11" ht="42" customHeight="1">
      <c r="A1675" s="2" t="s">
        <v>4172</v>
      </c>
      <c r="B1675" s="2" t="s">
        <v>4173</v>
      </c>
      <c r="C1675" s="2" t="s">
        <v>36</v>
      </c>
      <c r="D1675" s="2" t="s">
        <v>37</v>
      </c>
      <c r="E1675" s="5">
        <v>-30104</v>
      </c>
      <c r="F1675" s="3" t="s">
        <v>856</v>
      </c>
      <c r="G1675" s="3" t="s">
        <v>57</v>
      </c>
      <c r="H1675" s="2" t="s">
        <v>21</v>
      </c>
      <c r="I1675" s="2" t="s">
        <v>4175</v>
      </c>
      <c r="J1675" s="3" t="str">
        <f>HYPERLINK("https://www.boe.es/gazeta/dias/1817/07/29/pdfs/GMD-1817-90.pdf#page=6","Abrir facsímil")</f>
        <v>Abrir facsímil</v>
      </c>
      <c r="K1675" s="3" t="s">
        <v>23</v>
      </c>
    </row>
    <row r="1676" spans="1:11" ht="42" customHeight="1">
      <c r="A1676" s="2" t="s">
        <v>4176</v>
      </c>
      <c r="B1676" s="2" t="s">
        <v>4177</v>
      </c>
      <c r="C1676" s="2" t="s">
        <v>36</v>
      </c>
      <c r="D1676" s="2" t="s">
        <v>37</v>
      </c>
      <c r="E1676" s="5">
        <v>-29981</v>
      </c>
      <c r="F1676" s="3" t="s">
        <v>111</v>
      </c>
      <c r="G1676" s="3" t="s">
        <v>112</v>
      </c>
      <c r="H1676" s="2" t="s">
        <v>21</v>
      </c>
      <c r="I1676" s="2" t="s">
        <v>4178</v>
      </c>
      <c r="J1676" s="3" t="str">
        <f>HYPERLINK("https://www.boe.es/gazeta/dias/1817/11/29/pdfs/GMD-1817-143.pdf#page=11","Abrir facsímil")</f>
        <v>Abrir facsímil</v>
      </c>
      <c r="K1676" s="3" t="s">
        <v>23</v>
      </c>
    </row>
    <row r="1677" spans="1:11" ht="42" customHeight="1">
      <c r="A1677" s="2" t="s">
        <v>4179</v>
      </c>
      <c r="B1677" s="2" t="s">
        <v>4180</v>
      </c>
      <c r="C1677" s="2" t="s">
        <v>17</v>
      </c>
      <c r="D1677" s="2" t="s">
        <v>18</v>
      </c>
      <c r="E1677" s="5">
        <v>-30205</v>
      </c>
      <c r="F1677" s="3" t="s">
        <v>139</v>
      </c>
      <c r="G1677" s="3" t="s">
        <v>77</v>
      </c>
      <c r="H1677" s="2" t="s">
        <v>21</v>
      </c>
      <c r="I1677" s="2" t="s">
        <v>4181</v>
      </c>
      <c r="J1677" s="3" t="str">
        <f>HYPERLINK("https://www.boe.es/gazeta/dias/1817/04/19/pdfs/GMD-1817-47.pdf#page=8","Abrir facsímil")</f>
        <v>Abrir facsímil</v>
      </c>
      <c r="K1677" s="3" t="s">
        <v>23</v>
      </c>
    </row>
    <row r="1678" spans="1:11" ht="42" customHeight="1">
      <c r="A1678" s="2" t="s">
        <v>4179</v>
      </c>
      <c r="B1678" s="2" t="s">
        <v>4180</v>
      </c>
      <c r="C1678" s="2" t="s">
        <v>138</v>
      </c>
      <c r="D1678" s="2" t="s">
        <v>44</v>
      </c>
      <c r="E1678" s="5">
        <v>-30160</v>
      </c>
      <c r="F1678" s="3" t="s">
        <v>116</v>
      </c>
      <c r="G1678" s="3" t="s">
        <v>427</v>
      </c>
      <c r="H1678" s="2" t="s">
        <v>21</v>
      </c>
      <c r="I1678" s="2" t="s">
        <v>4182</v>
      </c>
      <c r="J1678" s="3" t="str">
        <f>HYPERLINK("https://www.boe.es/gazeta/dias/1817/06/03/pdfs/GMD-1817-66.pdf#page=8","Abrir facsímil")</f>
        <v>Abrir facsímil</v>
      </c>
      <c r="K1678" s="3" t="s">
        <v>23</v>
      </c>
    </row>
    <row r="1679" spans="1:11" ht="42" customHeight="1">
      <c r="A1679" s="2" t="s">
        <v>4179</v>
      </c>
      <c r="B1679" s="2" t="s">
        <v>4180</v>
      </c>
      <c r="C1679" s="2" t="s">
        <v>17</v>
      </c>
      <c r="D1679" s="2" t="s">
        <v>18</v>
      </c>
      <c r="E1679" s="5">
        <v>-30156</v>
      </c>
      <c r="F1679" s="3" t="s">
        <v>635</v>
      </c>
      <c r="G1679" s="3" t="s">
        <v>77</v>
      </c>
      <c r="H1679" s="2" t="s">
        <v>21</v>
      </c>
      <c r="I1679" s="2" t="s">
        <v>4183</v>
      </c>
      <c r="J1679" s="3" t="str">
        <f>HYPERLINK("https://www.boe.es/gazeta/dias/1817/06/07/pdfs/GMD-1817-68.pdf#page=8","Abrir facsímil")</f>
        <v>Abrir facsímil</v>
      </c>
      <c r="K1679" s="3" t="s">
        <v>23</v>
      </c>
    </row>
    <row r="1680" spans="1:11" ht="42" customHeight="1">
      <c r="A1680" s="2" t="s">
        <v>4179</v>
      </c>
      <c r="B1680" s="2" t="s">
        <v>4180</v>
      </c>
      <c r="C1680" s="2" t="s">
        <v>97</v>
      </c>
      <c r="D1680" s="2" t="s">
        <v>44</v>
      </c>
      <c r="E1680" s="5">
        <v>-30151</v>
      </c>
      <c r="F1680" s="3" t="s">
        <v>1422</v>
      </c>
      <c r="G1680" s="3" t="s">
        <v>77</v>
      </c>
      <c r="H1680" s="2" t="s">
        <v>21</v>
      </c>
      <c r="I1680" s="2" t="s">
        <v>4184</v>
      </c>
      <c r="J1680" s="3" t="str">
        <f>HYPERLINK("https://www.boe.es/gazeta/dias/1817/06/12/pdfs/GMD-1817-70.pdf#page=8","Abrir facsímil")</f>
        <v>Abrir facsímil</v>
      </c>
      <c r="K1680" s="3" t="s">
        <v>23</v>
      </c>
    </row>
    <row r="1681" spans="1:11" ht="42" customHeight="1">
      <c r="A1681" s="2" t="s">
        <v>4179</v>
      </c>
      <c r="B1681" s="2" t="s">
        <v>4180</v>
      </c>
      <c r="C1681" s="2" t="s">
        <v>17</v>
      </c>
      <c r="D1681" s="2" t="s">
        <v>18</v>
      </c>
      <c r="E1681" s="5">
        <v>-30102</v>
      </c>
      <c r="F1681" s="3" t="s">
        <v>502</v>
      </c>
      <c r="G1681" s="3" t="s">
        <v>77</v>
      </c>
      <c r="H1681" s="2" t="s">
        <v>21</v>
      </c>
      <c r="I1681" s="2" t="s">
        <v>4185</v>
      </c>
      <c r="J1681" s="3" t="str">
        <f>HYPERLINK("https://www.boe.es/gazeta/dias/1817/07/31/pdfs/GMD-1817-91.pdf#page=8","Abrir facsímil")</f>
        <v>Abrir facsímil</v>
      </c>
      <c r="K1681" s="3" t="s">
        <v>23</v>
      </c>
    </row>
    <row r="1682" spans="1:11" ht="42" customHeight="1">
      <c r="A1682" s="2" t="s">
        <v>4186</v>
      </c>
      <c r="B1682" s="2" t="s">
        <v>4187</v>
      </c>
      <c r="C1682" s="2" t="s">
        <v>36</v>
      </c>
      <c r="D1682" s="2" t="s">
        <v>37</v>
      </c>
      <c r="E1682" s="5">
        <v>-30109</v>
      </c>
      <c r="F1682" s="3" t="s">
        <v>205</v>
      </c>
      <c r="G1682" s="3" t="s">
        <v>2831</v>
      </c>
      <c r="H1682" s="2" t="s">
        <v>21</v>
      </c>
      <c r="I1682" s="2" t="s">
        <v>4188</v>
      </c>
      <c r="J1682" s="3" t="str">
        <f>HYPERLINK("https://www.boe.es/gazeta/dias/1817/07/24/pdfs/GMD-1817-88.pdf#page=8","Abrir facsímil")</f>
        <v>Abrir facsímil</v>
      </c>
      <c r="K1682" s="3" t="s">
        <v>23</v>
      </c>
    </row>
    <row r="1683" spans="1:11" ht="42" customHeight="1">
      <c r="A1683" s="2" t="s">
        <v>4189</v>
      </c>
      <c r="B1683" s="2" t="s">
        <v>4190</v>
      </c>
      <c r="C1683" s="2" t="s">
        <v>17</v>
      </c>
      <c r="D1683" s="2" t="s">
        <v>18</v>
      </c>
      <c r="E1683" s="5">
        <v>-30289</v>
      </c>
      <c r="F1683" s="3" t="s">
        <v>193</v>
      </c>
      <c r="G1683" s="3" t="s">
        <v>57</v>
      </c>
      <c r="H1683" s="2" t="s">
        <v>21</v>
      </c>
      <c r="I1683" s="2" t="s">
        <v>4191</v>
      </c>
      <c r="J1683" s="3" t="str">
        <f>HYPERLINK("https://www.boe.es/gazeta/dias/1817/01/25/pdfs/GMD-1817-11.pdf#page=6","Abrir facsímil")</f>
        <v>Abrir facsímil</v>
      </c>
      <c r="K1683" s="3" t="s">
        <v>23</v>
      </c>
    </row>
    <row r="1684" spans="1:11" ht="42" customHeight="1">
      <c r="A1684" s="2" t="s">
        <v>4192</v>
      </c>
      <c r="B1684" s="2" t="s">
        <v>4193</v>
      </c>
      <c r="C1684" s="2" t="s">
        <v>49</v>
      </c>
      <c r="D1684" s="2" t="s">
        <v>44</v>
      </c>
      <c r="E1684" s="5">
        <v>-30289</v>
      </c>
      <c r="F1684" s="3" t="s">
        <v>193</v>
      </c>
      <c r="G1684" s="3" t="s">
        <v>57</v>
      </c>
      <c r="H1684" s="2" t="s">
        <v>21</v>
      </c>
      <c r="I1684" s="2" t="s">
        <v>4194</v>
      </c>
      <c r="J1684" s="3" t="str">
        <f>HYPERLINK("https://www.boe.es/gazeta/dias/1817/01/25/pdfs/GMD-1817-11.pdf#page=6","Abrir facsímil")</f>
        <v>Abrir facsímil</v>
      </c>
      <c r="K1684" s="3" t="s">
        <v>23</v>
      </c>
    </row>
    <row r="1685" spans="1:11" ht="42" customHeight="1">
      <c r="A1685" s="2" t="s">
        <v>4195</v>
      </c>
      <c r="B1685" s="2" t="s">
        <v>4195</v>
      </c>
      <c r="C1685" s="2" t="s">
        <v>43</v>
      </c>
      <c r="D1685" s="2" t="s">
        <v>44</v>
      </c>
      <c r="E1685" s="5">
        <v>-30156</v>
      </c>
      <c r="F1685" s="3" t="s">
        <v>635</v>
      </c>
      <c r="G1685" s="3" t="s">
        <v>636</v>
      </c>
      <c r="H1685" s="2" t="s">
        <v>21</v>
      </c>
      <c r="I1685" s="2" t="s">
        <v>4196</v>
      </c>
      <c r="J1685" s="3" t="str">
        <f>HYPERLINK("https://www.boe.es/gazeta/dias/1817/06/07/pdfs/GMD-1817-68.pdf#page=3","Abrir facsímil")</f>
        <v>Abrir facsímil</v>
      </c>
      <c r="K1685" s="3" t="s">
        <v>23</v>
      </c>
    </row>
    <row r="1686" spans="1:11" ht="42" customHeight="1">
      <c r="A1686" s="2" t="s">
        <v>4197</v>
      </c>
      <c r="B1686" s="2" t="s">
        <v>4197</v>
      </c>
      <c r="C1686" s="2" t="s">
        <v>36</v>
      </c>
      <c r="D1686" s="2" t="s">
        <v>37</v>
      </c>
      <c r="E1686" s="5">
        <v>-30039</v>
      </c>
      <c r="F1686" s="3" t="s">
        <v>558</v>
      </c>
      <c r="G1686" s="3" t="s">
        <v>551</v>
      </c>
      <c r="H1686" s="2" t="s">
        <v>21</v>
      </c>
      <c r="I1686" s="2" t="s">
        <v>4198</v>
      </c>
      <c r="J1686" s="3" t="str">
        <f>HYPERLINK("https://www.boe.es/gazeta/dias/1817/10/02/pdfs/GMD-1817-118.pdf#page=3","Abrir facsímil")</f>
        <v>Abrir facsímil</v>
      </c>
      <c r="K1686" s="3" t="s">
        <v>23</v>
      </c>
    </row>
    <row r="1687" spans="1:11" ht="42" customHeight="1">
      <c r="A1687" s="2" t="s">
        <v>4199</v>
      </c>
      <c r="B1687" s="2" t="s">
        <v>4200</v>
      </c>
      <c r="C1687" s="2" t="s">
        <v>55</v>
      </c>
      <c r="D1687" s="2" t="s">
        <v>44</v>
      </c>
      <c r="E1687" s="5">
        <v>-30198</v>
      </c>
      <c r="F1687" s="3" t="s">
        <v>2185</v>
      </c>
      <c r="G1687" s="3" t="s">
        <v>2186</v>
      </c>
      <c r="H1687" s="2" t="s">
        <v>21</v>
      </c>
      <c r="I1687" s="2" t="s">
        <v>4201</v>
      </c>
      <c r="J1687" s="3" t="str">
        <f>HYPERLINK("https://www.boe.es/gazeta/dias/1817/04/26/pdfs/GMD-1817-50.pdf#page=8","Abrir facsímil")</f>
        <v>Abrir facsímil</v>
      </c>
      <c r="K1687" s="3" t="s">
        <v>23</v>
      </c>
    </row>
    <row r="1688" spans="1:11" ht="42" customHeight="1">
      <c r="A1688" s="2" t="s">
        <v>4202</v>
      </c>
      <c r="B1688" s="2" t="s">
        <v>4203</v>
      </c>
      <c r="C1688" s="2" t="s">
        <v>43</v>
      </c>
      <c r="D1688" s="2" t="s">
        <v>44</v>
      </c>
      <c r="E1688" s="5">
        <v>-30286</v>
      </c>
      <c r="F1688" s="3" t="s">
        <v>354</v>
      </c>
      <c r="G1688" s="3" t="s">
        <v>1580</v>
      </c>
      <c r="H1688" s="2" t="s">
        <v>21</v>
      </c>
      <c r="I1688" s="2" t="s">
        <v>4204</v>
      </c>
      <c r="J1688" s="3" t="str">
        <f>HYPERLINK("https://www.boe.es/gazeta/dias/1817/01/28/pdfs/GMD-1817-12.pdf#page=5","Abrir facsímil")</f>
        <v>Abrir facsímil</v>
      </c>
      <c r="K1688" s="3" t="s">
        <v>23</v>
      </c>
    </row>
    <row r="1689" spans="1:11" ht="42" customHeight="1">
      <c r="A1689" s="2" t="s">
        <v>4205</v>
      </c>
      <c r="B1689" s="2" t="s">
        <v>4206</v>
      </c>
      <c r="C1689" s="2" t="s">
        <v>43</v>
      </c>
      <c r="D1689" s="2" t="s">
        <v>44</v>
      </c>
      <c r="E1689" s="5">
        <v>-30207</v>
      </c>
      <c r="F1689" s="3" t="s">
        <v>1139</v>
      </c>
      <c r="G1689" s="3" t="s">
        <v>1140</v>
      </c>
      <c r="H1689" s="2" t="s">
        <v>21</v>
      </c>
      <c r="I1689" s="2" t="s">
        <v>4207</v>
      </c>
      <c r="J1689" s="3" t="str">
        <f>HYPERLINK("https://www.boe.es/gazeta/dias/1817/04/17/pdfs/GMD-1817-46.pdf#page=8","Abrir facsímil")</f>
        <v>Abrir facsímil</v>
      </c>
      <c r="K1689" s="3" t="s">
        <v>23</v>
      </c>
    </row>
    <row r="1690" spans="1:11" ht="42" customHeight="1">
      <c r="A1690" s="2" t="s">
        <v>4208</v>
      </c>
      <c r="B1690" s="2" t="s">
        <v>4209</v>
      </c>
      <c r="C1690" s="2" t="s">
        <v>43</v>
      </c>
      <c r="D1690" s="2" t="s">
        <v>44</v>
      </c>
      <c r="E1690" s="5">
        <v>-30207</v>
      </c>
      <c r="F1690" s="3" t="s">
        <v>1139</v>
      </c>
      <c r="G1690" s="3" t="s">
        <v>1140</v>
      </c>
      <c r="H1690" s="2" t="s">
        <v>21</v>
      </c>
      <c r="I1690" s="2" t="s">
        <v>4210</v>
      </c>
      <c r="J1690" s="3" t="str">
        <f>HYPERLINK("https://www.boe.es/gazeta/dias/1817/04/17/pdfs/GMD-1817-46.pdf#page=8","Abrir facsímil")</f>
        <v>Abrir facsímil</v>
      </c>
      <c r="K1690" s="3" t="s">
        <v>23</v>
      </c>
    </row>
    <row r="1691" spans="1:11" ht="42" customHeight="1">
      <c r="A1691" s="2" t="s">
        <v>4211</v>
      </c>
      <c r="B1691" s="2" t="s">
        <v>4212</v>
      </c>
      <c r="C1691" s="2" t="s">
        <v>36</v>
      </c>
      <c r="D1691" s="2" t="s">
        <v>37</v>
      </c>
      <c r="E1691" s="5">
        <v>-30230</v>
      </c>
      <c r="F1691" s="3" t="s">
        <v>189</v>
      </c>
      <c r="G1691" s="3" t="s">
        <v>20</v>
      </c>
      <c r="H1691" s="2" t="s">
        <v>21</v>
      </c>
      <c r="I1691" s="2" t="s">
        <v>4213</v>
      </c>
      <c r="J1691" s="3" t="str">
        <f>HYPERLINK("https://www.boe.es/gazeta/dias/1817/03/25/pdfs/GMD-1817-36.pdf#page=7","Abrir facsímil")</f>
        <v>Abrir facsímil</v>
      </c>
      <c r="K1691" s="3" t="s">
        <v>23</v>
      </c>
    </row>
    <row r="1692" spans="1:11" ht="42" customHeight="1">
      <c r="A1692" s="2" t="s">
        <v>4211</v>
      </c>
      <c r="B1692" s="2" t="s">
        <v>4212</v>
      </c>
      <c r="C1692" s="2" t="s">
        <v>43</v>
      </c>
      <c r="D1692" s="2" t="s">
        <v>44</v>
      </c>
      <c r="E1692" s="5">
        <v>-30179</v>
      </c>
      <c r="F1692" s="3" t="s">
        <v>391</v>
      </c>
      <c r="G1692" s="3" t="s">
        <v>20</v>
      </c>
      <c r="H1692" s="2" t="s">
        <v>21</v>
      </c>
      <c r="I1692" s="2" t="s">
        <v>4214</v>
      </c>
      <c r="J1692" s="3" t="str">
        <f>HYPERLINK("https://www.boe.es/gazeta/dias/1817/05/15/pdfs/GMD-1817-58.pdf#page=7","Abrir facsímil")</f>
        <v>Abrir facsímil</v>
      </c>
      <c r="K1692" s="3" t="s">
        <v>23</v>
      </c>
    </row>
    <row r="1693" spans="1:11" ht="42" customHeight="1">
      <c r="A1693" s="2" t="s">
        <v>4215</v>
      </c>
      <c r="B1693" s="2" t="s">
        <v>4216</v>
      </c>
      <c r="C1693" s="2" t="s">
        <v>36</v>
      </c>
      <c r="D1693" s="2" t="s">
        <v>37</v>
      </c>
      <c r="E1693" s="5">
        <v>-30062</v>
      </c>
      <c r="F1693" s="3" t="s">
        <v>444</v>
      </c>
      <c r="G1693" s="3" t="s">
        <v>314</v>
      </c>
      <c r="H1693" s="2" t="s">
        <v>21</v>
      </c>
      <c r="I1693" s="2" t="s">
        <v>4217</v>
      </c>
      <c r="J1693" s="3" t="str">
        <f>HYPERLINK("https://www.boe.es/gazeta/dias/1817/09/09/pdfs/GMD-1817-108.pdf#page=10","Abrir facsímil")</f>
        <v>Abrir facsímil</v>
      </c>
      <c r="K1693" s="3" t="s">
        <v>23</v>
      </c>
    </row>
    <row r="1694" spans="1:11" ht="42" customHeight="1">
      <c r="A1694" s="2" t="s">
        <v>4218</v>
      </c>
      <c r="B1694" s="2" t="s">
        <v>4219</v>
      </c>
      <c r="C1694" s="2" t="s">
        <v>36</v>
      </c>
      <c r="D1694" s="2" t="s">
        <v>37</v>
      </c>
      <c r="E1694" s="5">
        <v>-30163</v>
      </c>
      <c r="F1694" s="3" t="s">
        <v>166</v>
      </c>
      <c r="G1694" s="3" t="s">
        <v>39</v>
      </c>
      <c r="H1694" s="2" t="s">
        <v>21</v>
      </c>
      <c r="I1694" s="2" t="s">
        <v>4220</v>
      </c>
      <c r="J1694" s="3" t="str">
        <f>HYPERLINK("https://www.boe.es/gazeta/dias/1817/05/31/pdfs/GMD-1817-65.pdf#page=5","Abrir facsímil")</f>
        <v>Abrir facsímil</v>
      </c>
      <c r="K1694" s="3" t="s">
        <v>23</v>
      </c>
    </row>
    <row r="1695" spans="1:11" ht="42" customHeight="1">
      <c r="A1695" s="2" t="s">
        <v>4221</v>
      </c>
      <c r="B1695" s="2" t="s">
        <v>4222</v>
      </c>
      <c r="C1695" s="2" t="s">
        <v>43</v>
      </c>
      <c r="D1695" s="2" t="s">
        <v>44</v>
      </c>
      <c r="E1695" s="5">
        <v>-30048</v>
      </c>
      <c r="F1695" s="3" t="s">
        <v>573</v>
      </c>
      <c r="G1695" s="3" t="s">
        <v>4223</v>
      </c>
      <c r="H1695" s="2" t="s">
        <v>21</v>
      </c>
      <c r="I1695" s="2" t="s">
        <v>4224</v>
      </c>
      <c r="J1695" s="3" t="str">
        <f>HYPERLINK("https://www.boe.es/gazeta/dias/1817/09/23/pdfs/GMD-1817-114.pdf#page=5","Abrir facsímil")</f>
        <v>Abrir facsímil</v>
      </c>
      <c r="K1695" s="3" t="s">
        <v>23</v>
      </c>
    </row>
    <row r="1696" spans="1:11" ht="42" customHeight="1">
      <c r="A1696" s="2" t="s">
        <v>4225</v>
      </c>
      <c r="B1696" s="2" t="s">
        <v>4226</v>
      </c>
      <c r="C1696" s="2" t="s">
        <v>17</v>
      </c>
      <c r="D1696" s="2" t="s">
        <v>18</v>
      </c>
      <c r="E1696" s="5">
        <v>-30228</v>
      </c>
      <c r="F1696" s="3" t="s">
        <v>383</v>
      </c>
      <c r="G1696" s="3" t="s">
        <v>77</v>
      </c>
      <c r="H1696" s="2" t="s">
        <v>21</v>
      </c>
      <c r="I1696" s="2" t="s">
        <v>4227</v>
      </c>
      <c r="J1696" s="3" t="str">
        <f>HYPERLINK("https://www.boe.es/gazeta/dias/1817/03/27/pdfs/GMD-1817-37.pdf#page=8","Abrir facsímil")</f>
        <v>Abrir facsímil</v>
      </c>
      <c r="K1696" s="3" t="s">
        <v>23</v>
      </c>
    </row>
    <row r="1697" spans="1:11" ht="42" customHeight="1">
      <c r="A1697" s="2" t="s">
        <v>4228</v>
      </c>
      <c r="B1697" s="2" t="s">
        <v>4229</v>
      </c>
      <c r="C1697" s="2" t="s">
        <v>55</v>
      </c>
      <c r="D1697" s="2" t="s">
        <v>44</v>
      </c>
      <c r="E1697" s="5">
        <v>-30132</v>
      </c>
      <c r="F1697" s="3" t="s">
        <v>718</v>
      </c>
      <c r="G1697" s="3" t="s">
        <v>77</v>
      </c>
      <c r="H1697" s="2" t="s">
        <v>27</v>
      </c>
      <c r="I1697" s="2" t="s">
        <v>4230</v>
      </c>
      <c r="J1697" s="3" t="str">
        <f>HYPERLINK("https://www.boe.es/gazeta/dias/1817/07/01/pdfs/GMD-1817-78.pdf#page=8","Abrir facsímil")</f>
        <v>Abrir facsímil</v>
      </c>
      <c r="K1697" s="3" t="s">
        <v>29</v>
      </c>
    </row>
    <row r="1698" spans="1:11" ht="42" customHeight="1">
      <c r="A1698" s="2" t="s">
        <v>4231</v>
      </c>
      <c r="B1698" s="2" t="s">
        <v>4231</v>
      </c>
      <c r="C1698" s="2" t="s">
        <v>510</v>
      </c>
      <c r="D1698" s="2" t="s">
        <v>44</v>
      </c>
      <c r="E1698" s="5">
        <v>-30130</v>
      </c>
      <c r="F1698" s="3" t="s">
        <v>768</v>
      </c>
      <c r="G1698" s="3" t="s">
        <v>629</v>
      </c>
      <c r="H1698" s="2" t="s">
        <v>21</v>
      </c>
      <c r="I1698" s="2" t="s">
        <v>4232</v>
      </c>
      <c r="J1698" s="3" t="str">
        <f>HYPERLINK("https://www.boe.es/gazeta/dias/1817/07/03/pdfs/GMD-1817-79.pdf#page=2","Abrir facsímil")</f>
        <v>Abrir facsímil</v>
      </c>
      <c r="K1698" s="3" t="s">
        <v>23</v>
      </c>
    </row>
    <row r="1699" spans="1:11" ht="42" customHeight="1">
      <c r="A1699" s="2" t="s">
        <v>4233</v>
      </c>
      <c r="B1699" s="2" t="s">
        <v>4233</v>
      </c>
      <c r="C1699" s="2" t="s">
        <v>138</v>
      </c>
      <c r="D1699" s="2" t="s">
        <v>44</v>
      </c>
      <c r="E1699" s="5">
        <v>-30095</v>
      </c>
      <c r="F1699" s="3" t="s">
        <v>365</v>
      </c>
      <c r="G1699" s="3" t="s">
        <v>144</v>
      </c>
      <c r="H1699" s="2" t="s">
        <v>21</v>
      </c>
      <c r="I1699" s="2" t="s">
        <v>4234</v>
      </c>
      <c r="J1699" s="3" t="str">
        <f>HYPERLINK("https://www.boe.es/gazeta/dias/1817/08/07/pdfs/GMD-1817-94.pdf#page=4","Abrir facsímil")</f>
        <v>Abrir facsímil</v>
      </c>
      <c r="K1699" s="3" t="s">
        <v>23</v>
      </c>
    </row>
    <row r="1700" spans="1:11" ht="42" customHeight="1">
      <c r="A1700" s="2" t="s">
        <v>4233</v>
      </c>
      <c r="B1700" s="2" t="s">
        <v>4233</v>
      </c>
      <c r="C1700" s="2" t="s">
        <v>36</v>
      </c>
      <c r="D1700" s="2" t="s">
        <v>37</v>
      </c>
      <c r="E1700" s="5">
        <v>-30055</v>
      </c>
      <c r="F1700" s="3" t="s">
        <v>71</v>
      </c>
      <c r="G1700" s="3" t="s">
        <v>112</v>
      </c>
      <c r="H1700" s="2" t="s">
        <v>21</v>
      </c>
      <c r="I1700" s="2" t="s">
        <v>4235</v>
      </c>
      <c r="J1700" s="3" t="str">
        <f>HYPERLINK("https://www.boe.es/gazeta/dias/1817/09/16/pdfs/GMD-1817-111.pdf#page=11","Abrir facsímil")</f>
        <v>Abrir facsímil</v>
      </c>
      <c r="K1700" s="3" t="s">
        <v>23</v>
      </c>
    </row>
    <row r="1701" spans="1:11" ht="42" customHeight="1">
      <c r="A1701" s="2" t="s">
        <v>4236</v>
      </c>
      <c r="B1701" s="2" t="s">
        <v>4237</v>
      </c>
      <c r="C1701" s="2" t="s">
        <v>36</v>
      </c>
      <c r="D1701" s="2" t="s">
        <v>37</v>
      </c>
      <c r="E1701" s="5">
        <v>-30055</v>
      </c>
      <c r="F1701" s="3" t="s">
        <v>71</v>
      </c>
      <c r="G1701" s="3" t="s">
        <v>112</v>
      </c>
      <c r="H1701" s="2" t="s">
        <v>21</v>
      </c>
      <c r="I1701" s="2" t="s">
        <v>4238</v>
      </c>
      <c r="J1701" s="3" t="str">
        <f>HYPERLINK("https://www.boe.es/gazeta/dias/1817/09/16/pdfs/GMD-1817-111.pdf#page=11","Abrir facsímil")</f>
        <v>Abrir facsímil</v>
      </c>
      <c r="K1701" s="3" t="s">
        <v>23</v>
      </c>
    </row>
    <row r="1702" spans="1:11" ht="42" customHeight="1">
      <c r="A1702" s="2" t="s">
        <v>4239</v>
      </c>
      <c r="B1702" s="2" t="s">
        <v>4240</v>
      </c>
      <c r="C1702" s="2" t="s">
        <v>36</v>
      </c>
      <c r="D1702" s="2" t="s">
        <v>37</v>
      </c>
      <c r="E1702" s="5">
        <v>-30039</v>
      </c>
      <c r="F1702" s="3" t="s">
        <v>558</v>
      </c>
      <c r="G1702" s="3" t="s">
        <v>1592</v>
      </c>
      <c r="H1702" s="2" t="s">
        <v>21</v>
      </c>
      <c r="I1702" s="2" t="s">
        <v>4241</v>
      </c>
      <c r="J1702" s="3" t="str">
        <f>HYPERLINK("https://www.boe.es/gazeta/dias/1817/10/02/pdfs/GMD-1817-118.pdf#page=6","Abrir facsímil")</f>
        <v>Abrir facsímil</v>
      </c>
      <c r="K1702" s="3" t="s">
        <v>23</v>
      </c>
    </row>
    <row r="1703" spans="1:11" ht="42" customHeight="1">
      <c r="A1703" s="2" t="s">
        <v>4242</v>
      </c>
      <c r="B1703" s="2" t="s">
        <v>4243</v>
      </c>
      <c r="C1703" s="2" t="s">
        <v>17</v>
      </c>
      <c r="D1703" s="2" t="s">
        <v>18</v>
      </c>
      <c r="E1703" s="5">
        <v>-29953</v>
      </c>
      <c r="F1703" s="3" t="s">
        <v>793</v>
      </c>
      <c r="G1703" s="3" t="s">
        <v>144</v>
      </c>
      <c r="H1703" s="2" t="s">
        <v>21</v>
      </c>
      <c r="I1703" s="2" t="s">
        <v>4244</v>
      </c>
      <c r="J1703" s="3" t="str">
        <f>HYPERLINK("https://www.boe.es/gazeta/dias/1817/12/27/pdfs/GMD-1817-155.pdf#page=4","Abrir facsímil")</f>
        <v>Abrir facsímil</v>
      </c>
      <c r="K1703" s="3" t="s">
        <v>23</v>
      </c>
    </row>
    <row r="1704" spans="1:11" ht="42" customHeight="1">
      <c r="A1704" s="2" t="s">
        <v>4245</v>
      </c>
      <c r="B1704" s="2" t="s">
        <v>4246</v>
      </c>
      <c r="C1704" s="2" t="s">
        <v>36</v>
      </c>
      <c r="D1704" s="2" t="s">
        <v>37</v>
      </c>
      <c r="E1704" s="5">
        <v>-30093</v>
      </c>
      <c r="F1704" s="3" t="s">
        <v>230</v>
      </c>
      <c r="G1704" s="3" t="s">
        <v>551</v>
      </c>
      <c r="H1704" s="2" t="s">
        <v>21</v>
      </c>
      <c r="I1704" s="2" t="s">
        <v>4247</v>
      </c>
      <c r="J1704" s="3" t="str">
        <f>HYPERLINK("https://www.boe.es/gazeta/dias/1817/08/09/pdfs/GMD-1817-95.pdf#page=3","Abrir facsímil")</f>
        <v>Abrir facsímil</v>
      </c>
      <c r="K1704" s="3" t="s">
        <v>23</v>
      </c>
    </row>
    <row r="1705" spans="1:11" ht="42" customHeight="1">
      <c r="A1705" s="2" t="s">
        <v>4248</v>
      </c>
      <c r="B1705" s="2" t="s">
        <v>4248</v>
      </c>
      <c r="C1705" s="2" t="s">
        <v>43</v>
      </c>
      <c r="D1705" s="2" t="s">
        <v>44</v>
      </c>
      <c r="E1705" s="5">
        <v>-30181</v>
      </c>
      <c r="F1705" s="3" t="s">
        <v>3337</v>
      </c>
      <c r="G1705" s="3" t="s">
        <v>4249</v>
      </c>
      <c r="H1705" s="2" t="s">
        <v>21</v>
      </c>
      <c r="I1705" s="2" t="s">
        <v>4250</v>
      </c>
      <c r="J1705" s="3" t="str">
        <f>HYPERLINK("https://www.boe.es/gazeta/dias/1817/05/13/pdfs/GMD-1817-57.pdf#page=3","Abrir facsímil")</f>
        <v>Abrir facsímil</v>
      </c>
      <c r="K1705" s="3" t="s">
        <v>23</v>
      </c>
    </row>
    <row r="1706" spans="1:11" ht="42" customHeight="1">
      <c r="A1706" s="2" t="s">
        <v>4248</v>
      </c>
      <c r="B1706" s="2" t="s">
        <v>4248</v>
      </c>
      <c r="C1706" s="2" t="s">
        <v>17</v>
      </c>
      <c r="D1706" s="2" t="s">
        <v>18</v>
      </c>
      <c r="E1706" s="5">
        <v>-30121</v>
      </c>
      <c r="F1706" s="3" t="s">
        <v>851</v>
      </c>
      <c r="G1706" s="3" t="s">
        <v>551</v>
      </c>
      <c r="H1706" s="2" t="s">
        <v>21</v>
      </c>
      <c r="I1706" s="2" t="s">
        <v>4251</v>
      </c>
      <c r="J1706" s="3" t="str">
        <f>HYPERLINK("https://www.boe.es/gazeta/dias/1817/07/12/pdfs/GMD-1817-83.pdf#page=3","Abrir facsímil")</f>
        <v>Abrir facsímil</v>
      </c>
      <c r="K1706" s="3" t="s">
        <v>23</v>
      </c>
    </row>
    <row r="1707" spans="1:11" ht="42" customHeight="1">
      <c r="A1707" s="2" t="s">
        <v>4252</v>
      </c>
      <c r="B1707" s="2" t="s">
        <v>4253</v>
      </c>
      <c r="C1707" s="2" t="s">
        <v>138</v>
      </c>
      <c r="D1707" s="2" t="s">
        <v>44</v>
      </c>
      <c r="E1707" s="5">
        <v>-30160</v>
      </c>
      <c r="F1707" s="3" t="s">
        <v>116</v>
      </c>
      <c r="G1707" s="3" t="s">
        <v>567</v>
      </c>
      <c r="H1707" s="2" t="s">
        <v>21</v>
      </c>
      <c r="I1707" s="2" t="s">
        <v>4254</v>
      </c>
      <c r="J1707" s="3" t="str">
        <f>HYPERLINK("https://www.boe.es/gazeta/dias/1817/06/03/pdfs/GMD-1817-66.pdf#page=6","Abrir facsímil")</f>
        <v>Abrir facsímil</v>
      </c>
      <c r="K1707" s="3" t="s">
        <v>23</v>
      </c>
    </row>
    <row r="1708" spans="1:11" ht="42" customHeight="1">
      <c r="A1708" s="2" t="s">
        <v>4255</v>
      </c>
      <c r="B1708" s="2" t="s">
        <v>4256</v>
      </c>
      <c r="C1708" s="2" t="s">
        <v>43</v>
      </c>
      <c r="D1708" s="2" t="s">
        <v>44</v>
      </c>
      <c r="E1708" s="5">
        <v>-30160</v>
      </c>
      <c r="F1708" s="3" t="s">
        <v>116</v>
      </c>
      <c r="G1708" s="3" t="s">
        <v>20</v>
      </c>
      <c r="H1708" s="2" t="s">
        <v>21</v>
      </c>
      <c r="I1708" s="2" t="s">
        <v>4257</v>
      </c>
      <c r="J1708" s="3" t="str">
        <f>HYPERLINK("https://www.boe.es/gazeta/dias/1817/06/03/pdfs/GMD-1817-66.pdf#page=7","Abrir facsímil")</f>
        <v>Abrir facsímil</v>
      </c>
      <c r="K1708" s="3" t="s">
        <v>23</v>
      </c>
    </row>
    <row r="1709" spans="1:11" ht="42" customHeight="1">
      <c r="A1709" s="2" t="s">
        <v>4258</v>
      </c>
      <c r="B1709" s="2" t="s">
        <v>4259</v>
      </c>
      <c r="C1709" s="2" t="s">
        <v>138</v>
      </c>
      <c r="D1709" s="2" t="s">
        <v>44</v>
      </c>
      <c r="E1709" s="5">
        <v>-30160</v>
      </c>
      <c r="F1709" s="3" t="s">
        <v>116</v>
      </c>
      <c r="G1709" s="3" t="s">
        <v>567</v>
      </c>
      <c r="H1709" s="2" t="s">
        <v>21</v>
      </c>
      <c r="I1709" s="2" t="s">
        <v>4260</v>
      </c>
      <c r="J1709" s="3" t="str">
        <f>HYPERLINK("https://www.boe.es/gazeta/dias/1817/06/03/pdfs/GMD-1817-66.pdf#page=6","Abrir facsímil")</f>
        <v>Abrir facsímil</v>
      </c>
      <c r="K1709" s="3" t="s">
        <v>23</v>
      </c>
    </row>
    <row r="1710" spans="1:11" ht="42" customHeight="1">
      <c r="A1710" s="2" t="s">
        <v>4261</v>
      </c>
      <c r="B1710" s="2" t="s">
        <v>4261</v>
      </c>
      <c r="C1710" s="2" t="s">
        <v>36</v>
      </c>
      <c r="D1710" s="2" t="s">
        <v>37</v>
      </c>
      <c r="E1710" s="5">
        <v>-30160</v>
      </c>
      <c r="F1710" s="3" t="s">
        <v>116</v>
      </c>
      <c r="G1710" s="3" t="s">
        <v>567</v>
      </c>
      <c r="H1710" s="2" t="s">
        <v>21</v>
      </c>
      <c r="I1710" s="2" t="s">
        <v>4262</v>
      </c>
      <c r="J1710" s="3" t="str">
        <f>HYPERLINK("https://www.boe.es/gazeta/dias/1817/06/03/pdfs/GMD-1817-66.pdf#page=6","Abrir facsímil")</f>
        <v>Abrir facsímil</v>
      </c>
      <c r="K1710" s="3" t="s">
        <v>23</v>
      </c>
    </row>
    <row r="1711" spans="1:11" ht="42" customHeight="1">
      <c r="A1711" s="2" t="s">
        <v>4263</v>
      </c>
      <c r="B1711" s="2" t="s">
        <v>4264</v>
      </c>
      <c r="C1711" s="2" t="s">
        <v>36</v>
      </c>
      <c r="D1711" s="2" t="s">
        <v>37</v>
      </c>
      <c r="E1711" s="5">
        <v>-29962</v>
      </c>
      <c r="F1711" s="3" t="s">
        <v>485</v>
      </c>
      <c r="G1711" s="3" t="s">
        <v>77</v>
      </c>
      <c r="H1711" s="2" t="s">
        <v>21</v>
      </c>
      <c r="I1711" s="2" t="s">
        <v>4265</v>
      </c>
      <c r="J1711" s="3" t="str">
        <f>HYPERLINK("https://www.boe.es/gazeta/dias/1817/12/18/pdfs/GMD-1817-151.pdf#page=8","Abrir facsímil")</f>
        <v>Abrir facsímil</v>
      </c>
      <c r="K1711" s="3" t="s">
        <v>23</v>
      </c>
    </row>
    <row r="1712" spans="1:11" ht="42" customHeight="1">
      <c r="A1712" s="2" t="s">
        <v>4266</v>
      </c>
      <c r="B1712" s="2" t="s">
        <v>4266</v>
      </c>
      <c r="C1712" s="2" t="s">
        <v>43</v>
      </c>
      <c r="D1712" s="2" t="s">
        <v>44</v>
      </c>
      <c r="E1712" s="5">
        <v>-30207</v>
      </c>
      <c r="F1712" s="3" t="s">
        <v>1139</v>
      </c>
      <c r="G1712" s="3" t="s">
        <v>629</v>
      </c>
      <c r="H1712" s="2" t="s">
        <v>21</v>
      </c>
      <c r="I1712" s="2" t="s">
        <v>4267</v>
      </c>
      <c r="J1712" s="3" t="str">
        <f>HYPERLINK("https://www.boe.es/gazeta/dias/1817/04/17/pdfs/GMD-1817-46.pdf#page=2","Abrir facsímil")</f>
        <v>Abrir facsímil</v>
      </c>
      <c r="K1712" s="3" t="s">
        <v>23</v>
      </c>
    </row>
    <row r="1713" spans="1:11" ht="42" customHeight="1">
      <c r="A1713" s="2" t="s">
        <v>4268</v>
      </c>
      <c r="B1713" s="2" t="s">
        <v>4268</v>
      </c>
      <c r="C1713" s="2" t="s">
        <v>36</v>
      </c>
      <c r="D1713" s="2" t="s">
        <v>37</v>
      </c>
      <c r="E1713" s="5">
        <v>-30195</v>
      </c>
      <c r="F1713" s="3" t="s">
        <v>1163</v>
      </c>
      <c r="G1713" s="3" t="s">
        <v>144</v>
      </c>
      <c r="H1713" s="2" t="s">
        <v>21</v>
      </c>
      <c r="I1713" s="2" t="s">
        <v>4269</v>
      </c>
      <c r="J1713" s="3" t="str">
        <f>HYPERLINK("https://www.boe.es/gazeta/dias/1817/04/29/pdfs/GMD-1817-51.pdf#page=4","Abrir facsímil")</f>
        <v>Abrir facsímil</v>
      </c>
      <c r="K1713" s="3" t="s">
        <v>23</v>
      </c>
    </row>
    <row r="1714" spans="1:11" ht="42" customHeight="1">
      <c r="A1714" s="2" t="s">
        <v>4270</v>
      </c>
      <c r="B1714" s="2" t="s">
        <v>4271</v>
      </c>
      <c r="C1714" s="2" t="s">
        <v>36</v>
      </c>
      <c r="D1714" s="2" t="s">
        <v>37</v>
      </c>
      <c r="E1714" s="5">
        <v>-29988</v>
      </c>
      <c r="F1714" s="3" t="s">
        <v>569</v>
      </c>
      <c r="G1714" s="3" t="s">
        <v>144</v>
      </c>
      <c r="H1714" s="2" t="s">
        <v>21</v>
      </c>
      <c r="I1714" s="2" t="s">
        <v>4272</v>
      </c>
      <c r="J1714" s="3" t="str">
        <f>HYPERLINK("https://www.boe.es/gazeta/dias/1817/11/22/pdfs/GMD-1817-140.pdf#page=4","Abrir facsímil")</f>
        <v>Abrir facsímil</v>
      </c>
      <c r="K1714" s="3" t="s">
        <v>23</v>
      </c>
    </row>
    <row r="1715" spans="1:11" ht="42" customHeight="1">
      <c r="A1715" s="2" t="s">
        <v>4273</v>
      </c>
      <c r="B1715" s="2" t="s">
        <v>4273</v>
      </c>
      <c r="C1715" s="2" t="s">
        <v>36</v>
      </c>
      <c r="D1715" s="2" t="s">
        <v>37</v>
      </c>
      <c r="E1715" s="5">
        <v>-30277</v>
      </c>
      <c r="F1715" s="3" t="s">
        <v>3822</v>
      </c>
      <c r="G1715" s="3" t="s">
        <v>72</v>
      </c>
      <c r="H1715" s="2" t="s">
        <v>21</v>
      </c>
      <c r="I1715" s="2" t="s">
        <v>4274</v>
      </c>
      <c r="J1715" s="3" t="str">
        <f>HYPERLINK("https://www.boe.es/gazeta/dias/1817/02/06/pdfs/GMD-1817-16.pdf#page=1","Abrir facsímil")</f>
        <v>Abrir facsímil</v>
      </c>
      <c r="K1715" s="3" t="s">
        <v>23</v>
      </c>
    </row>
    <row r="1716" spans="1:11" ht="42" customHeight="1">
      <c r="A1716" s="2" t="s">
        <v>4275</v>
      </c>
      <c r="B1716" s="2" t="s">
        <v>4276</v>
      </c>
      <c r="C1716" s="2" t="s">
        <v>36</v>
      </c>
      <c r="D1716" s="2" t="s">
        <v>37</v>
      </c>
      <c r="E1716" s="5">
        <v>-30065</v>
      </c>
      <c r="F1716" s="3" t="s">
        <v>201</v>
      </c>
      <c r="G1716" s="3" t="s">
        <v>20</v>
      </c>
      <c r="H1716" s="2" t="s">
        <v>21</v>
      </c>
      <c r="I1716" s="2" t="s">
        <v>4277</v>
      </c>
      <c r="J1716" s="3" t="str">
        <f>HYPERLINK("https://www.boe.es/gazeta/dias/1817/09/06/pdfs/GMD-1817-107.pdf#page=7","Abrir facsímil")</f>
        <v>Abrir facsímil</v>
      </c>
      <c r="K1716" s="3" t="s">
        <v>23</v>
      </c>
    </row>
    <row r="1717" spans="1:11" ht="42" customHeight="1">
      <c r="A1717" s="2" t="s">
        <v>4278</v>
      </c>
      <c r="B1717" s="2" t="s">
        <v>4279</v>
      </c>
      <c r="C1717" s="2" t="s">
        <v>36</v>
      </c>
      <c r="D1717" s="2" t="s">
        <v>37</v>
      </c>
      <c r="E1717" s="5">
        <v>-30030</v>
      </c>
      <c r="F1717" s="3" t="s">
        <v>508</v>
      </c>
      <c r="G1717" s="3" t="s">
        <v>144</v>
      </c>
      <c r="H1717" s="2" t="s">
        <v>21</v>
      </c>
      <c r="I1717" s="2" t="s">
        <v>4280</v>
      </c>
      <c r="J1717" s="3" t="str">
        <f>HYPERLINK("https://www.boe.es/gazeta/dias/1817/10/11/pdfs/GMD-1817-122.pdf#page=4","Abrir facsímil")</f>
        <v>Abrir facsímil</v>
      </c>
      <c r="K1717" s="3" t="s">
        <v>23</v>
      </c>
    </row>
    <row r="1718" spans="1:11" ht="42" customHeight="1">
      <c r="A1718" s="2" t="s">
        <v>4281</v>
      </c>
      <c r="B1718" s="2" t="s">
        <v>4282</v>
      </c>
      <c r="C1718" s="2" t="s">
        <v>97</v>
      </c>
      <c r="D1718" s="2" t="s">
        <v>44</v>
      </c>
      <c r="E1718" s="5">
        <v>-30284</v>
      </c>
      <c r="F1718" s="3" t="s">
        <v>741</v>
      </c>
      <c r="G1718" s="3" t="s">
        <v>77</v>
      </c>
      <c r="H1718" s="2" t="s">
        <v>21</v>
      </c>
      <c r="I1718" s="2" t="s">
        <v>4283</v>
      </c>
      <c r="J1718" s="3" t="str">
        <f>HYPERLINK("https://www.boe.es/gazeta/dias/1817/01/30/pdfs/GMD-1817-13.pdf#page=8","Abrir facsímil")</f>
        <v>Abrir facsímil</v>
      </c>
      <c r="K1718" s="3" t="s">
        <v>23</v>
      </c>
    </row>
    <row r="1719" spans="1:11" ht="42" customHeight="1">
      <c r="A1719" s="2" t="s">
        <v>4284</v>
      </c>
      <c r="B1719" s="2" t="s">
        <v>4285</v>
      </c>
      <c r="C1719" s="2" t="s">
        <v>97</v>
      </c>
      <c r="D1719" s="2" t="s">
        <v>44</v>
      </c>
      <c r="E1719" s="5">
        <v>-30090</v>
      </c>
      <c r="F1719" s="3" t="s">
        <v>89</v>
      </c>
      <c r="G1719" s="3" t="s">
        <v>77</v>
      </c>
      <c r="H1719" s="2" t="s">
        <v>21</v>
      </c>
      <c r="I1719" s="2" t="s">
        <v>4286</v>
      </c>
      <c r="J1719" s="3" t="str">
        <f>HYPERLINK("https://www.boe.es/gazeta/dias/1817/08/12/pdfs/GMD-1817-96.pdf#page=8","Abrir facsímil")</f>
        <v>Abrir facsímil</v>
      </c>
      <c r="K1719" s="3" t="s">
        <v>23</v>
      </c>
    </row>
    <row r="1720" spans="1:11" ht="42" customHeight="1">
      <c r="A1720" s="2" t="s">
        <v>4287</v>
      </c>
      <c r="B1720" s="2" t="s">
        <v>4288</v>
      </c>
      <c r="C1720" s="2" t="s">
        <v>17</v>
      </c>
      <c r="D1720" s="2" t="s">
        <v>18</v>
      </c>
      <c r="E1720" s="5">
        <v>-29985</v>
      </c>
      <c r="F1720" s="3" t="s">
        <v>76</v>
      </c>
      <c r="G1720" s="3" t="s">
        <v>82</v>
      </c>
      <c r="H1720" s="2" t="s">
        <v>27</v>
      </c>
      <c r="I1720" s="2" t="s">
        <v>4289</v>
      </c>
      <c r="J1720" s="3" t="str">
        <f>HYPERLINK("https://www.boe.es/gazeta/dias/1817/11/25/pdfs/GMD-1817-141.pdf#page=12","Abrir facsímil")</f>
        <v>Abrir facsímil</v>
      </c>
      <c r="K1720" s="3" t="s">
        <v>29</v>
      </c>
    </row>
    <row r="1721" spans="1:11" ht="42" customHeight="1">
      <c r="A1721" s="2" t="s">
        <v>4290</v>
      </c>
      <c r="B1721" s="2" t="s">
        <v>4291</v>
      </c>
      <c r="C1721" s="2" t="s">
        <v>138</v>
      </c>
      <c r="D1721" s="2" t="s">
        <v>44</v>
      </c>
      <c r="E1721" s="5">
        <v>-30202</v>
      </c>
      <c r="F1721" s="3" t="s">
        <v>418</v>
      </c>
      <c r="G1721" s="3" t="s">
        <v>77</v>
      </c>
      <c r="H1721" s="2" t="s">
        <v>21</v>
      </c>
      <c r="I1721" s="2" t="s">
        <v>4292</v>
      </c>
      <c r="J1721" s="3" t="str">
        <f>HYPERLINK("https://www.boe.es/gazeta/dias/1817/04/22/pdfs/GMD-1817-48.pdf#page=8","Abrir facsímil")</f>
        <v>Abrir facsímil</v>
      </c>
      <c r="K1721" s="3" t="s">
        <v>23</v>
      </c>
    </row>
    <row r="1722" spans="1:11" ht="42" customHeight="1">
      <c r="A1722" s="2" t="s">
        <v>4293</v>
      </c>
      <c r="B1722" s="2" t="s">
        <v>4294</v>
      </c>
      <c r="C1722" s="2" t="s">
        <v>43</v>
      </c>
      <c r="D1722" s="2" t="s">
        <v>44</v>
      </c>
      <c r="E1722" s="5">
        <v>-30142</v>
      </c>
      <c r="F1722" s="3" t="s">
        <v>286</v>
      </c>
      <c r="G1722" s="3" t="s">
        <v>144</v>
      </c>
      <c r="H1722" s="2" t="s">
        <v>21</v>
      </c>
      <c r="I1722" s="2" t="s">
        <v>4295</v>
      </c>
      <c r="J1722" s="3" t="str">
        <f>HYPERLINK("https://www.boe.es/gazeta/dias/1817/06/21/pdfs/GMD-1817-74.pdf#page=4","Abrir facsímil")</f>
        <v>Abrir facsímil</v>
      </c>
      <c r="K1722" s="3" t="s">
        <v>23</v>
      </c>
    </row>
    <row r="1723" spans="1:11" ht="42" customHeight="1">
      <c r="A1723" s="2" t="s">
        <v>4296</v>
      </c>
      <c r="B1723" s="2" t="s">
        <v>4297</v>
      </c>
      <c r="C1723" s="2" t="s">
        <v>43</v>
      </c>
      <c r="D1723" s="2" t="s">
        <v>44</v>
      </c>
      <c r="E1723" s="5">
        <v>-30261</v>
      </c>
      <c r="F1723" s="3" t="s">
        <v>226</v>
      </c>
      <c r="G1723" s="3" t="s">
        <v>39</v>
      </c>
      <c r="H1723" s="2" t="s">
        <v>21</v>
      </c>
      <c r="I1723" s="2" t="s">
        <v>4298</v>
      </c>
      <c r="J1723" s="3" t="str">
        <f>HYPERLINK("https://www.boe.es/gazeta/dias/1817/02/22/pdfs/GMD-1817-23.pdf#page=5","Abrir facsímil")</f>
        <v>Abrir facsímil</v>
      </c>
      <c r="K1723" s="3" t="s">
        <v>23</v>
      </c>
    </row>
    <row r="1724" spans="1:11" ht="42" customHeight="1">
      <c r="A1724" s="2" t="s">
        <v>4299</v>
      </c>
      <c r="B1724" s="2" t="s">
        <v>4300</v>
      </c>
      <c r="C1724" s="2" t="s">
        <v>36</v>
      </c>
      <c r="D1724" s="2" t="s">
        <v>37</v>
      </c>
      <c r="E1724" s="5">
        <v>-30046</v>
      </c>
      <c r="F1724" s="3" t="s">
        <v>214</v>
      </c>
      <c r="G1724" s="3" t="s">
        <v>275</v>
      </c>
      <c r="H1724" s="2" t="s">
        <v>21</v>
      </c>
      <c r="I1724" s="2" t="s">
        <v>4301</v>
      </c>
      <c r="J1724" s="3" t="str">
        <f>HYPERLINK("https://www.boe.es/gazeta/dias/1817/09/25/pdfs/GMD-1817-115.pdf#page=12","Abrir facsímil")</f>
        <v>Abrir facsímil</v>
      </c>
      <c r="K1724" s="3" t="s">
        <v>23</v>
      </c>
    </row>
    <row r="1725" spans="1:11" ht="42" customHeight="1">
      <c r="A1725" s="2" t="s">
        <v>4302</v>
      </c>
      <c r="B1725" s="2" t="s">
        <v>4303</v>
      </c>
      <c r="C1725" s="2" t="s">
        <v>36</v>
      </c>
      <c r="D1725" s="2" t="s">
        <v>37</v>
      </c>
      <c r="E1725" s="5">
        <v>-30310</v>
      </c>
      <c r="F1725" s="3" t="s">
        <v>93</v>
      </c>
      <c r="G1725" s="3" t="s">
        <v>39</v>
      </c>
      <c r="H1725" s="2" t="s">
        <v>21</v>
      </c>
      <c r="I1725" s="2" t="s">
        <v>4304</v>
      </c>
      <c r="J1725" s="3" t="str">
        <f>HYPERLINK("https://www.boe.es/gazeta/dias/1817/01/04/pdfs/GMD-1817-2.pdf#page=5","Abrir facsímil")</f>
        <v>Abrir facsímil</v>
      </c>
      <c r="K1725" s="3" t="s">
        <v>23</v>
      </c>
    </row>
    <row r="1726" spans="1:11" ht="42" customHeight="1">
      <c r="A1726" s="2" t="s">
        <v>4305</v>
      </c>
      <c r="B1726" s="2" t="s">
        <v>4306</v>
      </c>
      <c r="C1726" s="2" t="s">
        <v>36</v>
      </c>
      <c r="D1726" s="2" t="s">
        <v>37</v>
      </c>
      <c r="E1726" s="5">
        <v>-30149</v>
      </c>
      <c r="F1726" s="3" t="s">
        <v>430</v>
      </c>
      <c r="G1726" s="3" t="s">
        <v>77</v>
      </c>
      <c r="H1726" s="2" t="s">
        <v>21</v>
      </c>
      <c r="I1726" s="2" t="s">
        <v>4307</v>
      </c>
      <c r="J1726" s="3" t="str">
        <f>HYPERLINK("https://www.boe.es/gazeta/dias/1817/06/14/pdfs/GMD-1817-71.pdf#page=8","Abrir facsímil")</f>
        <v>Abrir facsímil</v>
      </c>
      <c r="K1726" s="3" t="s">
        <v>23</v>
      </c>
    </row>
    <row r="1727" spans="1:11" ht="42" customHeight="1">
      <c r="A1727" s="2" t="s">
        <v>4305</v>
      </c>
      <c r="B1727" s="2" t="s">
        <v>4306</v>
      </c>
      <c r="C1727" s="2" t="s">
        <v>36</v>
      </c>
      <c r="D1727" s="2" t="s">
        <v>37</v>
      </c>
      <c r="E1727" s="5">
        <v>-30081</v>
      </c>
      <c r="F1727" s="3" t="s">
        <v>133</v>
      </c>
      <c r="G1727" s="3" t="s">
        <v>82</v>
      </c>
      <c r="H1727" s="2" t="s">
        <v>21</v>
      </c>
      <c r="I1727" s="2" t="s">
        <v>4308</v>
      </c>
      <c r="J1727" s="3" t="str">
        <f>HYPERLINK("https://www.boe.es/gazeta/dias/1817/08/21/pdfs/GMD-1817-100.pdf#page=12","Abrir facsímil")</f>
        <v>Abrir facsímil</v>
      </c>
      <c r="K1727" s="3" t="s">
        <v>23</v>
      </c>
    </row>
    <row r="1728" spans="1:11" ht="42" customHeight="1">
      <c r="A1728" s="2" t="s">
        <v>4309</v>
      </c>
      <c r="B1728" s="2" t="s">
        <v>4310</v>
      </c>
      <c r="C1728" s="2" t="s">
        <v>55</v>
      </c>
      <c r="D1728" s="2" t="s">
        <v>44</v>
      </c>
      <c r="E1728" s="5">
        <v>-30181</v>
      </c>
      <c r="F1728" s="3" t="s">
        <v>3337</v>
      </c>
      <c r="G1728" s="3" t="s">
        <v>4311</v>
      </c>
      <c r="H1728" s="2" t="s">
        <v>21</v>
      </c>
      <c r="I1728" s="2" t="s">
        <v>4312</v>
      </c>
      <c r="J1728" s="3" t="str">
        <f>HYPERLINK("https://www.boe.es/gazeta/dias/1817/05/13/pdfs/GMD-1817-57.pdf#page=8","Abrir facsímil")</f>
        <v>Abrir facsímil</v>
      </c>
      <c r="K1728" s="3" t="s">
        <v>23</v>
      </c>
    </row>
    <row r="1729" spans="1:11" ht="42" customHeight="1">
      <c r="A1729" s="2" t="s">
        <v>4309</v>
      </c>
      <c r="B1729" s="2" t="s">
        <v>4310</v>
      </c>
      <c r="C1729" s="2" t="s">
        <v>55</v>
      </c>
      <c r="D1729" s="2" t="s">
        <v>44</v>
      </c>
      <c r="E1729" s="5">
        <v>-30135</v>
      </c>
      <c r="F1729" s="3" t="s">
        <v>239</v>
      </c>
      <c r="G1729" s="3" t="s">
        <v>240</v>
      </c>
      <c r="H1729" s="2" t="s">
        <v>21</v>
      </c>
      <c r="I1729" s="2" t="s">
        <v>4313</v>
      </c>
      <c r="J1729" s="3" t="str">
        <f>HYPERLINK("https://www.boe.es/gazeta/dias/1817/06/28/pdfs/GMD-1817-77.pdf#page=7","Abrir facsímil")</f>
        <v>Abrir facsímil</v>
      </c>
      <c r="K1729" s="3" t="s">
        <v>23</v>
      </c>
    </row>
    <row r="1730" spans="1:11" ht="42" customHeight="1">
      <c r="A1730" s="2" t="s">
        <v>4309</v>
      </c>
      <c r="B1730" s="2" t="s">
        <v>4310</v>
      </c>
      <c r="C1730" s="2" t="s">
        <v>49</v>
      </c>
      <c r="D1730" s="2" t="s">
        <v>44</v>
      </c>
      <c r="E1730" s="5">
        <v>-30011</v>
      </c>
      <c r="F1730" s="3" t="s">
        <v>313</v>
      </c>
      <c r="G1730" s="3" t="s">
        <v>82</v>
      </c>
      <c r="H1730" s="2" t="s">
        <v>21</v>
      </c>
      <c r="I1730" s="2" t="s">
        <v>4314</v>
      </c>
      <c r="J1730" s="3" t="str">
        <f>HYPERLINK("https://www.boe.es/gazeta/dias/1817/10/30/pdfs/GMD-1817-130.pdf#page=12","Abrir facsímil")</f>
        <v>Abrir facsímil</v>
      </c>
      <c r="K1730" s="3" t="s">
        <v>23</v>
      </c>
    </row>
    <row r="1731" spans="1:11" ht="42" customHeight="1">
      <c r="A1731" s="2" t="s">
        <v>4315</v>
      </c>
      <c r="B1731" s="2" t="s">
        <v>4316</v>
      </c>
      <c r="C1731" s="2" t="s">
        <v>36</v>
      </c>
      <c r="D1731" s="2" t="s">
        <v>37</v>
      </c>
      <c r="E1731" s="5">
        <v>-29983</v>
      </c>
      <c r="F1731" s="3" t="s">
        <v>148</v>
      </c>
      <c r="G1731" s="3" t="s">
        <v>551</v>
      </c>
      <c r="H1731" s="2" t="s">
        <v>21</v>
      </c>
      <c r="I1731" s="2" t="s">
        <v>4317</v>
      </c>
      <c r="J1731" s="3" t="str">
        <f>HYPERLINK("https://www.boe.es/gazeta/dias/1817/11/27/pdfs/GMD-1817-142.pdf#page=3","Abrir facsímil")</f>
        <v>Abrir facsímil</v>
      </c>
      <c r="K1731" s="3" t="s">
        <v>23</v>
      </c>
    </row>
    <row r="1732" spans="1:11" ht="42" customHeight="1">
      <c r="A1732" s="2" t="s">
        <v>4318</v>
      </c>
      <c r="B1732" s="2" t="s">
        <v>4319</v>
      </c>
      <c r="C1732" s="2" t="s">
        <v>43</v>
      </c>
      <c r="D1732" s="2" t="s">
        <v>44</v>
      </c>
      <c r="E1732" s="5">
        <v>-30237</v>
      </c>
      <c r="F1732" s="3" t="s">
        <v>56</v>
      </c>
      <c r="G1732" s="3" t="s">
        <v>57</v>
      </c>
      <c r="H1732" s="2" t="s">
        <v>21</v>
      </c>
      <c r="I1732" s="2" t="s">
        <v>4320</v>
      </c>
      <c r="J1732" s="3" t="str">
        <f>HYPERLINK("https://www.boe.es/gazeta/dias/1817/03/18/pdfs/GMD-1817-33.pdf#page=6","Abrir facsímil")</f>
        <v>Abrir facsímil</v>
      </c>
      <c r="K1732" s="3" t="s">
        <v>23</v>
      </c>
    </row>
    <row r="1733" spans="1:11" ht="42" customHeight="1">
      <c r="A1733" s="2" t="s">
        <v>4318</v>
      </c>
      <c r="B1733" s="2" t="s">
        <v>4319</v>
      </c>
      <c r="C1733" s="2" t="s">
        <v>43</v>
      </c>
      <c r="D1733" s="2" t="s">
        <v>44</v>
      </c>
      <c r="E1733" s="5">
        <v>-30011</v>
      </c>
      <c r="F1733" s="3" t="s">
        <v>313</v>
      </c>
      <c r="G1733" s="3" t="s">
        <v>57</v>
      </c>
      <c r="H1733" s="2" t="s">
        <v>21</v>
      </c>
      <c r="I1733" s="2" t="s">
        <v>4321</v>
      </c>
      <c r="J1733" s="3" t="str">
        <f>HYPERLINK("https://www.boe.es/gazeta/dias/1817/10/30/pdfs/GMD-1817-130.pdf#page=6","Abrir facsímil")</f>
        <v>Abrir facsímil</v>
      </c>
      <c r="K1733" s="3" t="s">
        <v>23</v>
      </c>
    </row>
    <row r="1734" spans="1:11" ht="42" customHeight="1">
      <c r="A1734" s="2" t="s">
        <v>4322</v>
      </c>
      <c r="B1734" s="2" t="s">
        <v>4323</v>
      </c>
      <c r="C1734" s="2" t="s">
        <v>138</v>
      </c>
      <c r="D1734" s="2" t="s">
        <v>44</v>
      </c>
      <c r="E1734" s="5">
        <v>-30160</v>
      </c>
      <c r="F1734" s="3" t="s">
        <v>116</v>
      </c>
      <c r="G1734" s="3" t="s">
        <v>567</v>
      </c>
      <c r="H1734" s="2" t="s">
        <v>21</v>
      </c>
      <c r="I1734" s="2" t="s">
        <v>4324</v>
      </c>
      <c r="J1734" s="3" t="str">
        <f>HYPERLINK("https://www.boe.es/gazeta/dias/1817/06/03/pdfs/GMD-1817-66.pdf#page=6","Abrir facsímil")</f>
        <v>Abrir facsímil</v>
      </c>
      <c r="K1734" s="3" t="s">
        <v>23</v>
      </c>
    </row>
    <row r="1735" spans="1:11" ht="42" customHeight="1">
      <c r="A1735" s="2" t="s">
        <v>4325</v>
      </c>
      <c r="B1735" s="2" t="s">
        <v>4326</v>
      </c>
      <c r="C1735" s="2" t="s">
        <v>49</v>
      </c>
      <c r="D1735" s="2" t="s">
        <v>44</v>
      </c>
      <c r="E1735" s="5">
        <v>-30097</v>
      </c>
      <c r="F1735" s="3" t="s">
        <v>156</v>
      </c>
      <c r="G1735" s="3" t="s">
        <v>1596</v>
      </c>
      <c r="H1735" s="2" t="s">
        <v>21</v>
      </c>
      <c r="I1735" s="2" t="s">
        <v>4327</v>
      </c>
      <c r="J1735" s="3" t="str">
        <f>HYPERLINK("https://www.boe.es/gazeta/dias/1817/08/05/pdfs/GMD-1817-93.pdf#page=6","Abrir facsímil")</f>
        <v>Abrir facsímil</v>
      </c>
      <c r="K1735" s="3" t="s">
        <v>23</v>
      </c>
    </row>
    <row r="1736" spans="1:11" ht="42" customHeight="1">
      <c r="A1736" s="2" t="s">
        <v>4328</v>
      </c>
      <c r="B1736" s="2" t="s">
        <v>4329</v>
      </c>
      <c r="C1736" s="2" t="s">
        <v>43</v>
      </c>
      <c r="D1736" s="2" t="s">
        <v>44</v>
      </c>
      <c r="E1736" s="5">
        <v>-30261</v>
      </c>
      <c r="F1736" s="3" t="s">
        <v>226</v>
      </c>
      <c r="G1736" s="3" t="s">
        <v>39</v>
      </c>
      <c r="H1736" s="2" t="s">
        <v>21</v>
      </c>
      <c r="I1736" s="2" t="s">
        <v>4330</v>
      </c>
      <c r="J1736" s="3" t="str">
        <f>HYPERLINK("https://www.boe.es/gazeta/dias/1817/02/22/pdfs/GMD-1817-23.pdf#page=5","Abrir facsímil")</f>
        <v>Abrir facsímil</v>
      </c>
      <c r="K1736" s="3" t="s">
        <v>23</v>
      </c>
    </row>
    <row r="1737" spans="1:11" ht="42" customHeight="1">
      <c r="A1737" s="2" t="s">
        <v>4331</v>
      </c>
      <c r="B1737" s="2" t="s">
        <v>4332</v>
      </c>
      <c r="C1737" s="2" t="s">
        <v>36</v>
      </c>
      <c r="D1737" s="2" t="s">
        <v>37</v>
      </c>
      <c r="E1737" s="5">
        <v>-30060</v>
      </c>
      <c r="F1737" s="3" t="s">
        <v>446</v>
      </c>
      <c r="G1737" s="3" t="s">
        <v>20</v>
      </c>
      <c r="H1737" s="2" t="s">
        <v>21</v>
      </c>
      <c r="I1737" s="2" t="s">
        <v>4333</v>
      </c>
      <c r="J1737" s="3" t="str">
        <f>HYPERLINK("https://www.boe.es/gazeta/dias/1817/09/11/pdfs/GMD-1817-109.pdf#page=7","Abrir facsímil")</f>
        <v>Abrir facsímil</v>
      </c>
      <c r="K1737" s="3" t="s">
        <v>23</v>
      </c>
    </row>
    <row r="1738" spans="1:11" ht="42" customHeight="1">
      <c r="A1738" s="2" t="s">
        <v>4334</v>
      </c>
      <c r="B1738" s="2" t="s">
        <v>4335</v>
      </c>
      <c r="C1738" s="2" t="s">
        <v>17</v>
      </c>
      <c r="D1738" s="2" t="s">
        <v>18</v>
      </c>
      <c r="E1738" s="5">
        <v>-30205</v>
      </c>
      <c r="F1738" s="3" t="s">
        <v>139</v>
      </c>
      <c r="G1738" s="3" t="s">
        <v>72</v>
      </c>
      <c r="H1738" s="2" t="s">
        <v>21</v>
      </c>
      <c r="I1738" s="2" t="s">
        <v>4336</v>
      </c>
      <c r="J1738" s="3" t="str">
        <f>HYPERLINK("https://www.boe.es/gazeta/dias/1817/04/19/pdfs/GMD-1817-47.pdf#page=1","Abrir facsímil")</f>
        <v>Abrir facsímil</v>
      </c>
      <c r="K1738" s="3" t="s">
        <v>23</v>
      </c>
    </row>
    <row r="1739" spans="1:11" ht="42" customHeight="1">
      <c r="A1739" s="2" t="s">
        <v>4337</v>
      </c>
      <c r="B1739" s="2" t="s">
        <v>4337</v>
      </c>
      <c r="C1739" s="2" t="s">
        <v>36</v>
      </c>
      <c r="D1739" s="2" t="s">
        <v>37</v>
      </c>
      <c r="E1739" s="5">
        <v>-30128</v>
      </c>
      <c r="F1739" s="3" t="s">
        <v>761</v>
      </c>
      <c r="G1739" s="3" t="s">
        <v>551</v>
      </c>
      <c r="H1739" s="2" t="s">
        <v>21</v>
      </c>
      <c r="I1739" s="2" t="s">
        <v>4338</v>
      </c>
      <c r="J1739" s="3" t="str">
        <f>HYPERLINK("https://www.boe.es/gazeta/dias/1817/07/05/pdfs/GMD-1817-80.pdf#page=3","Abrir facsímil")</f>
        <v>Abrir facsímil</v>
      </c>
      <c r="K1739" s="3" t="s">
        <v>23</v>
      </c>
    </row>
    <row r="1740" spans="1:11" ht="42" customHeight="1">
      <c r="A1740" s="2" t="s">
        <v>4339</v>
      </c>
      <c r="B1740" s="2" t="s">
        <v>4340</v>
      </c>
      <c r="C1740" s="2" t="s">
        <v>36</v>
      </c>
      <c r="D1740" s="2" t="s">
        <v>37</v>
      </c>
      <c r="E1740" s="5">
        <v>-29960</v>
      </c>
      <c r="F1740" s="3" t="s">
        <v>657</v>
      </c>
      <c r="G1740" s="3" t="s">
        <v>57</v>
      </c>
      <c r="H1740" s="2" t="s">
        <v>21</v>
      </c>
      <c r="I1740" s="2" t="s">
        <v>4341</v>
      </c>
      <c r="J1740" s="3" t="str">
        <f>HYPERLINK("https://www.boe.es/gazeta/dias/1817/12/20/pdfs/GMD-1817-152.pdf#page=6","Abrir facsímil")</f>
        <v>Abrir facsímil</v>
      </c>
      <c r="K1740" s="3" t="s">
        <v>23</v>
      </c>
    </row>
    <row r="1741" spans="1:11" ht="42" customHeight="1">
      <c r="A1741" s="2" t="s">
        <v>4342</v>
      </c>
      <c r="B1741" s="2" t="s">
        <v>4343</v>
      </c>
      <c r="C1741" s="2" t="s">
        <v>36</v>
      </c>
      <c r="D1741" s="2" t="s">
        <v>37</v>
      </c>
      <c r="E1741" s="5">
        <v>-30062</v>
      </c>
      <c r="F1741" s="3" t="s">
        <v>444</v>
      </c>
      <c r="G1741" s="3" t="s">
        <v>691</v>
      </c>
      <c r="H1741" s="2" t="s">
        <v>21</v>
      </c>
      <c r="I1741" s="2" t="s">
        <v>4344</v>
      </c>
      <c r="J1741" s="3" t="str">
        <f>HYPERLINK("https://www.boe.es/gazeta/dias/1817/09/09/pdfs/GMD-1817-108.pdf#page=8","Abrir facsímil")</f>
        <v>Abrir facsímil</v>
      </c>
      <c r="K1741" s="3" t="s">
        <v>23</v>
      </c>
    </row>
    <row r="1742" spans="1:11" ht="42" customHeight="1">
      <c r="A1742" s="2" t="s">
        <v>4345</v>
      </c>
      <c r="B1742" s="2" t="s">
        <v>4346</v>
      </c>
      <c r="C1742" s="2" t="s">
        <v>36</v>
      </c>
      <c r="D1742" s="2" t="s">
        <v>37</v>
      </c>
      <c r="E1742" s="5">
        <v>-30104</v>
      </c>
      <c r="F1742" s="3" t="s">
        <v>856</v>
      </c>
      <c r="G1742" s="3" t="s">
        <v>57</v>
      </c>
      <c r="H1742" s="2" t="s">
        <v>21</v>
      </c>
      <c r="I1742" s="2" t="s">
        <v>4347</v>
      </c>
      <c r="J1742" s="3" t="str">
        <f>HYPERLINK("https://www.boe.es/gazeta/dias/1817/07/29/pdfs/GMD-1817-90.pdf#page=6","Abrir facsímil")</f>
        <v>Abrir facsímil</v>
      </c>
      <c r="K1742" s="3" t="s">
        <v>23</v>
      </c>
    </row>
    <row r="1743" spans="1:11" ht="42" customHeight="1">
      <c r="A1743" s="2" t="s">
        <v>4348</v>
      </c>
      <c r="B1743" s="2" t="s">
        <v>4349</v>
      </c>
      <c r="C1743" s="2" t="s">
        <v>49</v>
      </c>
      <c r="D1743" s="2" t="s">
        <v>44</v>
      </c>
      <c r="E1743" s="5">
        <v>-30296</v>
      </c>
      <c r="F1743" s="3" t="s">
        <v>357</v>
      </c>
      <c r="G1743" s="3" t="s">
        <v>82</v>
      </c>
      <c r="H1743" s="2" t="s">
        <v>21</v>
      </c>
      <c r="I1743" s="2" t="s">
        <v>4350</v>
      </c>
      <c r="J1743" s="3" t="str">
        <f>HYPERLINK("https://www.boe.es/gazeta/dias/1817/01/18/pdfs/GMD-1817-8.pdf#page=12","Abrir facsímil")</f>
        <v>Abrir facsímil</v>
      </c>
      <c r="K1743" s="3" t="s">
        <v>23</v>
      </c>
    </row>
    <row r="1744" spans="1:11" ht="42" customHeight="1">
      <c r="A1744" s="2" t="s">
        <v>4348</v>
      </c>
      <c r="B1744" s="2" t="s">
        <v>4349</v>
      </c>
      <c r="C1744" s="2" t="s">
        <v>17</v>
      </c>
      <c r="D1744" s="2" t="s">
        <v>18</v>
      </c>
      <c r="E1744" s="5">
        <v>-30293</v>
      </c>
      <c r="F1744" s="3" t="s">
        <v>143</v>
      </c>
      <c r="G1744" s="3" t="s">
        <v>2365</v>
      </c>
      <c r="H1744" s="2" t="s">
        <v>21</v>
      </c>
      <c r="I1744" s="2" t="s">
        <v>4351</v>
      </c>
      <c r="J1744" s="3" t="str">
        <f>HYPERLINK("https://www.boe.es/gazeta/dias/1817/01/21/pdfs/GMD-1817-9.pdf#page=8","Abrir facsímil")</f>
        <v>Abrir facsímil</v>
      </c>
      <c r="K1744" s="3" t="s">
        <v>23</v>
      </c>
    </row>
    <row r="1745" spans="1:11" ht="42" customHeight="1">
      <c r="A1745" s="2" t="s">
        <v>4348</v>
      </c>
      <c r="B1745" s="2" t="s">
        <v>4349</v>
      </c>
      <c r="C1745" s="2" t="s">
        <v>49</v>
      </c>
      <c r="D1745" s="2" t="s">
        <v>44</v>
      </c>
      <c r="E1745" s="5">
        <v>-30272</v>
      </c>
      <c r="F1745" s="3" t="s">
        <v>493</v>
      </c>
      <c r="G1745" s="3" t="s">
        <v>77</v>
      </c>
      <c r="H1745" s="2" t="s">
        <v>21</v>
      </c>
      <c r="I1745" s="2" t="s">
        <v>4352</v>
      </c>
      <c r="J1745" s="3" t="str">
        <f>HYPERLINK("https://www.boe.es/gazeta/dias/1817/02/11/pdfs/GMD-1817-18.pdf#page=8","Abrir facsímil")</f>
        <v>Abrir facsímil</v>
      </c>
      <c r="K1745" s="3" t="s">
        <v>23</v>
      </c>
    </row>
    <row r="1746" spans="1:11" ht="42" customHeight="1">
      <c r="A1746" s="2" t="s">
        <v>4348</v>
      </c>
      <c r="B1746" s="2" t="s">
        <v>4349</v>
      </c>
      <c r="C1746" s="2" t="s">
        <v>17</v>
      </c>
      <c r="D1746" s="2" t="s">
        <v>18</v>
      </c>
      <c r="E1746" s="5">
        <v>-29971</v>
      </c>
      <c r="F1746" s="3" t="s">
        <v>517</v>
      </c>
      <c r="G1746" s="3" t="s">
        <v>112</v>
      </c>
      <c r="H1746" s="2" t="s">
        <v>21</v>
      </c>
      <c r="I1746" s="2" t="s">
        <v>4353</v>
      </c>
      <c r="J1746" s="3" t="str">
        <f>HYPERLINK("https://www.boe.es/gazeta/dias/1817/12/09/pdfs/GMD-1817-147.pdf#page=11","Abrir facsímil")</f>
        <v>Abrir facsímil</v>
      </c>
      <c r="K1746" s="3" t="s">
        <v>23</v>
      </c>
    </row>
    <row r="1747" spans="1:11" ht="42" customHeight="1">
      <c r="A1747" s="2" t="s">
        <v>4354</v>
      </c>
      <c r="B1747" s="2" t="s">
        <v>4355</v>
      </c>
      <c r="C1747" s="2" t="s">
        <v>36</v>
      </c>
      <c r="D1747" s="2" t="s">
        <v>37</v>
      </c>
      <c r="E1747" s="5">
        <v>-29981</v>
      </c>
      <c r="F1747" s="3" t="s">
        <v>111</v>
      </c>
      <c r="G1747" s="3" t="s">
        <v>82</v>
      </c>
      <c r="H1747" s="2" t="s">
        <v>21</v>
      </c>
      <c r="I1747" s="2" t="s">
        <v>4356</v>
      </c>
      <c r="J1747" s="3" t="str">
        <f>HYPERLINK("https://www.boe.es/gazeta/dias/1817/11/29/pdfs/GMD-1817-143.pdf#page=12","Abrir facsímil")</f>
        <v>Abrir facsímil</v>
      </c>
      <c r="K1747" s="3" t="s">
        <v>23</v>
      </c>
    </row>
    <row r="1748" spans="1:11" ht="42" customHeight="1">
      <c r="A1748" s="2" t="s">
        <v>4357</v>
      </c>
      <c r="B1748" s="2" t="s">
        <v>4358</v>
      </c>
      <c r="C1748" s="2" t="s">
        <v>43</v>
      </c>
      <c r="D1748" s="2" t="s">
        <v>44</v>
      </c>
      <c r="E1748" s="5">
        <v>-29985</v>
      </c>
      <c r="F1748" s="3" t="s">
        <v>76</v>
      </c>
      <c r="G1748" s="3" t="s">
        <v>112</v>
      </c>
      <c r="H1748" s="2" t="s">
        <v>21</v>
      </c>
      <c r="I1748" s="2" t="s">
        <v>4359</v>
      </c>
      <c r="J1748" s="3" t="str">
        <f>HYPERLINK("https://www.boe.es/gazeta/dias/1817/11/25/pdfs/GMD-1817-141.pdf#page=11","Abrir facsímil")</f>
        <v>Abrir facsímil</v>
      </c>
      <c r="K1748" s="3" t="s">
        <v>23</v>
      </c>
    </row>
    <row r="1749" spans="1:11" ht="42" customHeight="1">
      <c r="A1749" s="2" t="s">
        <v>4360</v>
      </c>
      <c r="B1749" s="2" t="s">
        <v>4361</v>
      </c>
      <c r="C1749" s="2" t="s">
        <v>36</v>
      </c>
      <c r="D1749" s="2" t="s">
        <v>37</v>
      </c>
      <c r="E1749" s="5">
        <v>-30114</v>
      </c>
      <c r="F1749" s="3" t="s">
        <v>500</v>
      </c>
      <c r="G1749" s="3" t="s">
        <v>4362</v>
      </c>
      <c r="H1749" s="2" t="s">
        <v>21</v>
      </c>
      <c r="I1749" s="2" t="s">
        <v>4363</v>
      </c>
      <c r="J1749" s="3" t="str">
        <f>HYPERLINK("https://www.boe.es/gazeta/dias/1817/07/19/pdfs/GMD-1817-86.pdf#page=5","Abrir facsímil")</f>
        <v>Abrir facsímil</v>
      </c>
      <c r="K1749" s="3" t="s">
        <v>23</v>
      </c>
    </row>
    <row r="1750" spans="1:11" ht="42" customHeight="1">
      <c r="A1750" s="2" t="s">
        <v>4360</v>
      </c>
      <c r="B1750" s="2" t="s">
        <v>4361</v>
      </c>
      <c r="C1750" s="2" t="s">
        <v>36</v>
      </c>
      <c r="D1750" s="2" t="s">
        <v>37</v>
      </c>
      <c r="E1750" s="5">
        <v>-30114</v>
      </c>
      <c r="F1750" s="3" t="s">
        <v>500</v>
      </c>
      <c r="G1750" s="3" t="s">
        <v>144</v>
      </c>
      <c r="H1750" s="2" t="s">
        <v>21</v>
      </c>
      <c r="I1750" s="2" t="s">
        <v>4364</v>
      </c>
      <c r="J1750" s="3" t="str">
        <f>HYPERLINK("https://www.boe.es/gazeta/dias/1817/07/19/pdfs/GMD-1817-86.pdf#page=4","Abrir facsímil")</f>
        <v>Abrir facsímil</v>
      </c>
      <c r="K1750" s="3" t="s">
        <v>23</v>
      </c>
    </row>
    <row r="1751" spans="1:11" ht="42" customHeight="1">
      <c r="A1751" s="2" t="s">
        <v>4365</v>
      </c>
      <c r="B1751" s="2" t="s">
        <v>4366</v>
      </c>
      <c r="C1751" s="2" t="s">
        <v>138</v>
      </c>
      <c r="D1751" s="2" t="s">
        <v>44</v>
      </c>
      <c r="E1751" s="5">
        <v>-30181</v>
      </c>
      <c r="F1751" s="3" t="s">
        <v>3337</v>
      </c>
      <c r="G1751" s="3" t="s">
        <v>4311</v>
      </c>
      <c r="H1751" s="2" t="s">
        <v>21</v>
      </c>
      <c r="I1751" s="2" t="s">
        <v>4367</v>
      </c>
      <c r="J1751" s="3" t="str">
        <f>HYPERLINK("https://www.boe.es/gazeta/dias/1817/05/13/pdfs/GMD-1817-57.pdf#page=8","Abrir facsímil")</f>
        <v>Abrir facsímil</v>
      </c>
      <c r="K1751" s="3" t="s">
        <v>23</v>
      </c>
    </row>
    <row r="1752" spans="1:11" ht="42" customHeight="1">
      <c r="A1752" s="2" t="s">
        <v>4368</v>
      </c>
      <c r="B1752" s="2" t="s">
        <v>4369</v>
      </c>
      <c r="C1752" s="2" t="s">
        <v>36</v>
      </c>
      <c r="D1752" s="2" t="s">
        <v>37</v>
      </c>
      <c r="E1752" s="5">
        <v>-30289</v>
      </c>
      <c r="F1752" s="3" t="s">
        <v>193</v>
      </c>
      <c r="G1752" s="3" t="s">
        <v>57</v>
      </c>
      <c r="H1752" s="2" t="s">
        <v>21</v>
      </c>
      <c r="I1752" s="2" t="s">
        <v>4370</v>
      </c>
      <c r="J1752" s="3" t="str">
        <f>HYPERLINK("https://www.boe.es/gazeta/dias/1817/01/25/pdfs/GMD-1817-11.pdf#page=6","Abrir facsímil")</f>
        <v>Abrir facsímil</v>
      </c>
      <c r="K1752" s="3" t="s">
        <v>23</v>
      </c>
    </row>
    <row r="1753" spans="1:11" ht="42" customHeight="1">
      <c r="A1753" s="2" t="s">
        <v>4371</v>
      </c>
      <c r="B1753" s="2" t="s">
        <v>4372</v>
      </c>
      <c r="C1753" s="2" t="s">
        <v>36</v>
      </c>
      <c r="D1753" s="2" t="s">
        <v>37</v>
      </c>
      <c r="E1753" s="5">
        <v>-30149</v>
      </c>
      <c r="F1753" s="3" t="s">
        <v>430</v>
      </c>
      <c r="G1753" s="3" t="s">
        <v>77</v>
      </c>
      <c r="H1753" s="2" t="s">
        <v>21</v>
      </c>
      <c r="I1753" s="2" t="s">
        <v>4373</v>
      </c>
      <c r="J1753" s="3" t="str">
        <f>HYPERLINK("https://www.boe.es/gazeta/dias/1817/06/14/pdfs/GMD-1817-71.pdf#page=8","Abrir facsímil")</f>
        <v>Abrir facsímil</v>
      </c>
      <c r="K1753" s="3" t="s">
        <v>23</v>
      </c>
    </row>
    <row r="1754" spans="1:11" ht="42" customHeight="1">
      <c r="A1754" s="2" t="s">
        <v>4371</v>
      </c>
      <c r="B1754" s="2" t="s">
        <v>4372</v>
      </c>
      <c r="C1754" s="2" t="s">
        <v>36</v>
      </c>
      <c r="D1754" s="2" t="s">
        <v>37</v>
      </c>
      <c r="E1754" s="5">
        <v>-30081</v>
      </c>
      <c r="F1754" s="3" t="s">
        <v>133</v>
      </c>
      <c r="G1754" s="3" t="s">
        <v>82</v>
      </c>
      <c r="H1754" s="2" t="s">
        <v>21</v>
      </c>
      <c r="I1754" s="2" t="s">
        <v>4374</v>
      </c>
      <c r="J1754" s="3" t="str">
        <f>HYPERLINK("https://www.boe.es/gazeta/dias/1817/08/21/pdfs/GMD-1817-100.pdf#page=12","Abrir facsímil")</f>
        <v>Abrir facsímil</v>
      </c>
      <c r="K1754" s="3" t="s">
        <v>23</v>
      </c>
    </row>
    <row r="1755" spans="1:11" ht="42" customHeight="1">
      <c r="A1755" s="2" t="s">
        <v>4375</v>
      </c>
      <c r="B1755" s="2" t="s">
        <v>4376</v>
      </c>
      <c r="C1755" s="2" t="s">
        <v>55</v>
      </c>
      <c r="D1755" s="2" t="s">
        <v>44</v>
      </c>
      <c r="E1755" s="5">
        <v>-30214</v>
      </c>
      <c r="F1755" s="3" t="s">
        <v>631</v>
      </c>
      <c r="G1755" s="3" t="s">
        <v>77</v>
      </c>
      <c r="H1755" s="2" t="s">
        <v>21</v>
      </c>
      <c r="I1755" s="2" t="s">
        <v>4377</v>
      </c>
      <c r="J1755" s="3" t="str">
        <f>HYPERLINK("https://www.boe.es/gazeta/dias/1817/04/10/pdfs/GMD-1817-43.pdf#page=8","Abrir facsímil")</f>
        <v>Abrir facsímil</v>
      </c>
      <c r="K1755" s="3" t="s">
        <v>23</v>
      </c>
    </row>
    <row r="1756" spans="1:11" ht="42" customHeight="1">
      <c r="A1756" s="2" t="s">
        <v>4375</v>
      </c>
      <c r="B1756" s="2" t="s">
        <v>4376</v>
      </c>
      <c r="C1756" s="2" t="s">
        <v>43</v>
      </c>
      <c r="D1756" s="2" t="s">
        <v>44</v>
      </c>
      <c r="E1756" s="5">
        <v>-29960</v>
      </c>
      <c r="F1756" s="3" t="s">
        <v>657</v>
      </c>
      <c r="G1756" s="3" t="s">
        <v>82</v>
      </c>
      <c r="H1756" s="2" t="s">
        <v>21</v>
      </c>
      <c r="I1756" s="2" t="s">
        <v>4378</v>
      </c>
      <c r="J1756" s="3" t="str">
        <f>HYPERLINK("https://www.boe.es/gazeta/dias/1817/12/20/pdfs/GMD-1817-152.pdf#page=12","Abrir facsímil")</f>
        <v>Abrir facsímil</v>
      </c>
      <c r="K1756" s="3" t="s">
        <v>23</v>
      </c>
    </row>
    <row r="1757" spans="1:11" ht="42" customHeight="1">
      <c r="A1757" s="2" t="s">
        <v>4379</v>
      </c>
      <c r="B1757" s="2" t="s">
        <v>4380</v>
      </c>
      <c r="C1757" s="2" t="s">
        <v>36</v>
      </c>
      <c r="D1757" s="2" t="s">
        <v>37</v>
      </c>
      <c r="E1757" s="5">
        <v>-30104</v>
      </c>
      <c r="F1757" s="3" t="s">
        <v>856</v>
      </c>
      <c r="G1757" s="3" t="s">
        <v>144</v>
      </c>
      <c r="H1757" s="2" t="s">
        <v>21</v>
      </c>
      <c r="I1757" s="2" t="s">
        <v>4381</v>
      </c>
      <c r="J1757" s="3" t="str">
        <f>HYPERLINK("https://www.boe.es/gazeta/dias/1817/07/29/pdfs/GMD-1817-90.pdf#page=4","Abrir facsímil")</f>
        <v>Abrir facsímil</v>
      </c>
      <c r="K1757" s="3" t="s">
        <v>23</v>
      </c>
    </row>
    <row r="1758" spans="1:11" ht="42" customHeight="1">
      <c r="A1758" s="2" t="s">
        <v>4382</v>
      </c>
      <c r="B1758" s="2" t="s">
        <v>4383</v>
      </c>
      <c r="C1758" s="2" t="s">
        <v>36</v>
      </c>
      <c r="D1758" s="2" t="s">
        <v>37</v>
      </c>
      <c r="E1758" s="5">
        <v>-30013</v>
      </c>
      <c r="F1758" s="3" t="s">
        <v>464</v>
      </c>
      <c r="G1758" s="3" t="s">
        <v>39</v>
      </c>
      <c r="H1758" s="2" t="s">
        <v>21</v>
      </c>
      <c r="I1758" s="2" t="s">
        <v>4384</v>
      </c>
      <c r="J1758" s="3" t="str">
        <f>HYPERLINK("https://www.boe.es/gazeta/dias/1817/10/28/pdfs/GMD-1817-129.pdf#page=5","Abrir facsímil")</f>
        <v>Abrir facsímil</v>
      </c>
      <c r="K1758" s="3" t="s">
        <v>23</v>
      </c>
    </row>
    <row r="1759" spans="1:11" ht="42" customHeight="1">
      <c r="A1759" s="2" t="s">
        <v>4385</v>
      </c>
      <c r="B1759" s="2" t="s">
        <v>4386</v>
      </c>
      <c r="C1759" s="2" t="s">
        <v>43</v>
      </c>
      <c r="D1759" s="2" t="s">
        <v>44</v>
      </c>
      <c r="E1759" s="5">
        <v>-30286</v>
      </c>
      <c r="F1759" s="3" t="s">
        <v>354</v>
      </c>
      <c r="G1759" s="3" t="s">
        <v>57</v>
      </c>
      <c r="H1759" s="2" t="s">
        <v>27</v>
      </c>
      <c r="I1759" s="2" t="s">
        <v>4387</v>
      </c>
      <c r="J1759" s="3" t="str">
        <f>HYPERLINK("https://www.boe.es/gazeta/dias/1817/01/28/pdfs/GMD-1817-12.pdf#page=6","Abrir facsímil")</f>
        <v>Abrir facsímil</v>
      </c>
      <c r="K1759" s="3" t="s">
        <v>29</v>
      </c>
    </row>
    <row r="1760" spans="1:11" ht="42" customHeight="1">
      <c r="A1760" s="2" t="s">
        <v>4388</v>
      </c>
      <c r="B1760" s="2" t="s">
        <v>4389</v>
      </c>
      <c r="C1760" s="2" t="s">
        <v>55</v>
      </c>
      <c r="D1760" s="2" t="s">
        <v>44</v>
      </c>
      <c r="E1760" s="5">
        <v>-29990</v>
      </c>
      <c r="F1760" s="3" t="s">
        <v>542</v>
      </c>
      <c r="G1760" s="3" t="s">
        <v>77</v>
      </c>
      <c r="H1760" s="2" t="s">
        <v>21</v>
      </c>
      <c r="I1760" s="2" t="s">
        <v>4390</v>
      </c>
      <c r="J1760" s="3" t="str">
        <f>HYPERLINK("https://www.boe.es/gazeta/dias/1817/11/20/pdfs/GMD-1817-139.pdf#page=8","Abrir facsímil")</f>
        <v>Abrir facsímil</v>
      </c>
      <c r="K1760" s="3" t="s">
        <v>23</v>
      </c>
    </row>
    <row r="1761" spans="1:11" ht="42" customHeight="1">
      <c r="A1761" s="2" t="s">
        <v>4391</v>
      </c>
      <c r="B1761" s="2" t="s">
        <v>4392</v>
      </c>
      <c r="C1761" s="2" t="s">
        <v>36</v>
      </c>
      <c r="D1761" s="2" t="s">
        <v>37</v>
      </c>
      <c r="E1761" s="5">
        <v>-30195</v>
      </c>
      <c r="F1761" s="3" t="s">
        <v>1163</v>
      </c>
      <c r="G1761" s="3" t="s">
        <v>57</v>
      </c>
      <c r="H1761" s="2" t="s">
        <v>21</v>
      </c>
      <c r="I1761" s="2" t="s">
        <v>4393</v>
      </c>
      <c r="J1761" s="3" t="str">
        <f>HYPERLINK("https://www.boe.es/gazeta/dias/1817/04/29/pdfs/GMD-1817-51.pdf#page=6","Abrir facsímil")</f>
        <v>Abrir facsímil</v>
      </c>
      <c r="K1761" s="3" t="s">
        <v>23</v>
      </c>
    </row>
    <row r="1762" spans="1:11" ht="42" customHeight="1">
      <c r="A1762" s="2" t="s">
        <v>4391</v>
      </c>
      <c r="B1762" s="2" t="s">
        <v>4392</v>
      </c>
      <c r="C1762" s="2" t="s">
        <v>36</v>
      </c>
      <c r="D1762" s="2" t="s">
        <v>37</v>
      </c>
      <c r="E1762" s="5">
        <v>-30032</v>
      </c>
      <c r="F1762" s="3" t="s">
        <v>337</v>
      </c>
      <c r="G1762" s="3" t="s">
        <v>57</v>
      </c>
      <c r="H1762" s="2" t="s">
        <v>21</v>
      </c>
      <c r="I1762" s="2" t="s">
        <v>4394</v>
      </c>
      <c r="J1762" s="3" t="str">
        <f>HYPERLINK("https://www.boe.es/gazeta/dias/1817/10/09/pdfs/GMD-1817-121.pdf#page=6","Abrir facsímil")</f>
        <v>Abrir facsímil</v>
      </c>
      <c r="K1762" s="3" t="s">
        <v>23</v>
      </c>
    </row>
    <row r="1763" spans="1:11" ht="42" customHeight="1">
      <c r="A1763" s="2" t="s">
        <v>4391</v>
      </c>
      <c r="B1763" s="2" t="s">
        <v>4392</v>
      </c>
      <c r="C1763" s="2" t="s">
        <v>36</v>
      </c>
      <c r="D1763" s="2" t="s">
        <v>37</v>
      </c>
      <c r="E1763" s="5">
        <v>-30020</v>
      </c>
      <c r="F1763" s="3" t="s">
        <v>291</v>
      </c>
      <c r="G1763" s="3" t="s">
        <v>57</v>
      </c>
      <c r="H1763" s="2" t="s">
        <v>21</v>
      </c>
      <c r="I1763" s="2" t="s">
        <v>4395</v>
      </c>
      <c r="J1763" s="3" t="str">
        <f>HYPERLINK("https://www.boe.es/gazeta/dias/1817/10/21/pdfs/GMD-1817-126.pdf#page=6","Abrir facsímil")</f>
        <v>Abrir facsímil</v>
      </c>
      <c r="K1763" s="3" t="s">
        <v>23</v>
      </c>
    </row>
    <row r="1764" spans="1:11" ht="42" customHeight="1">
      <c r="A1764" s="2" t="s">
        <v>4391</v>
      </c>
      <c r="B1764" s="2" t="s">
        <v>4392</v>
      </c>
      <c r="C1764" s="2" t="s">
        <v>36</v>
      </c>
      <c r="D1764" s="2" t="s">
        <v>37</v>
      </c>
      <c r="E1764" s="5">
        <v>-30018</v>
      </c>
      <c r="F1764" s="3" t="s">
        <v>757</v>
      </c>
      <c r="G1764" s="3" t="s">
        <v>4396</v>
      </c>
      <c r="H1764" s="2" t="s">
        <v>21</v>
      </c>
      <c r="I1764" s="2" t="s">
        <v>4397</v>
      </c>
      <c r="J1764" s="3" t="str">
        <f>HYPERLINK("https://www.boe.es/gazeta/dias/1817/10/23/pdfs/GMD-1817-127.pdf#page=6","Abrir facsímil")</f>
        <v>Abrir facsímil</v>
      </c>
      <c r="K1764" s="3" t="s">
        <v>23</v>
      </c>
    </row>
    <row r="1765" spans="1:11" ht="42" customHeight="1">
      <c r="A1765" s="2" t="s">
        <v>4391</v>
      </c>
      <c r="B1765" s="2" t="s">
        <v>4392</v>
      </c>
      <c r="C1765" s="2" t="s">
        <v>36</v>
      </c>
      <c r="D1765" s="2" t="s">
        <v>37</v>
      </c>
      <c r="E1765" s="5">
        <v>-29990</v>
      </c>
      <c r="F1765" s="3" t="s">
        <v>542</v>
      </c>
      <c r="G1765" s="3" t="s">
        <v>57</v>
      </c>
      <c r="H1765" s="2" t="s">
        <v>21</v>
      </c>
      <c r="I1765" s="2" t="s">
        <v>4398</v>
      </c>
      <c r="J1765" s="3" t="str">
        <f>HYPERLINK("https://www.boe.es/gazeta/dias/1817/11/20/pdfs/GMD-1817-139.pdf#page=6","Abrir facsímil")</f>
        <v>Abrir facsímil</v>
      </c>
      <c r="K1765" s="3" t="s">
        <v>23</v>
      </c>
    </row>
    <row r="1766" spans="1:11" ht="42" customHeight="1">
      <c r="A1766" s="2" t="s">
        <v>4391</v>
      </c>
      <c r="B1766" s="2" t="s">
        <v>4392</v>
      </c>
      <c r="C1766" s="2" t="s">
        <v>36</v>
      </c>
      <c r="D1766" s="2" t="s">
        <v>37</v>
      </c>
      <c r="E1766" s="5">
        <v>-29981</v>
      </c>
      <c r="F1766" s="3" t="s">
        <v>111</v>
      </c>
      <c r="G1766" s="3" t="s">
        <v>887</v>
      </c>
      <c r="H1766" s="2" t="s">
        <v>21</v>
      </c>
      <c r="I1766" s="2" t="s">
        <v>4399</v>
      </c>
      <c r="J1766" s="3" t="str">
        <f>HYPERLINK("https://www.boe.es/gazeta/dias/1817/11/29/pdfs/GMD-1817-143.pdf#page=9","Abrir facsímil")</f>
        <v>Abrir facsímil</v>
      </c>
      <c r="K1766" s="3" t="s">
        <v>23</v>
      </c>
    </row>
    <row r="1767" spans="1:11" ht="42" customHeight="1">
      <c r="A1767" s="2" t="s">
        <v>4391</v>
      </c>
      <c r="B1767" s="2" t="s">
        <v>4392</v>
      </c>
      <c r="C1767" s="2" t="s">
        <v>36</v>
      </c>
      <c r="D1767" s="2" t="s">
        <v>37</v>
      </c>
      <c r="E1767" s="5">
        <v>-29950</v>
      </c>
      <c r="F1767" s="3" t="s">
        <v>185</v>
      </c>
      <c r="G1767" s="3" t="s">
        <v>891</v>
      </c>
      <c r="H1767" s="2" t="s">
        <v>21</v>
      </c>
      <c r="I1767" s="2" t="s">
        <v>4400</v>
      </c>
      <c r="J1767" s="3" t="str">
        <f>HYPERLINK("https://www.boe.es/gazeta/dias/1817/12/30/pdfs/GMD-1817-156.pdf#page=8","Abrir facsímil")</f>
        <v>Abrir facsímil</v>
      </c>
      <c r="K1767" s="3" t="s">
        <v>23</v>
      </c>
    </row>
    <row r="1768" spans="1:11" ht="42" customHeight="1">
      <c r="A1768" s="2" t="s">
        <v>4401</v>
      </c>
      <c r="B1768" s="2" t="s">
        <v>4402</v>
      </c>
      <c r="C1768" s="2" t="s">
        <v>36</v>
      </c>
      <c r="D1768" s="2" t="s">
        <v>37</v>
      </c>
      <c r="E1768" s="5">
        <v>-29964</v>
      </c>
      <c r="F1768" s="3" t="s">
        <v>482</v>
      </c>
      <c r="G1768" s="3" t="s">
        <v>39</v>
      </c>
      <c r="H1768" s="2" t="s">
        <v>21</v>
      </c>
      <c r="I1768" s="2" t="s">
        <v>4403</v>
      </c>
      <c r="J1768" s="3" t="str">
        <f>HYPERLINK("https://www.boe.es/gazeta/dias/1817/12/16/pdfs/GMD-1817-150.pdf#page=5","Abrir facsímil")</f>
        <v>Abrir facsímil</v>
      </c>
      <c r="K1768" s="3" t="s">
        <v>23</v>
      </c>
    </row>
    <row r="1769" spans="1:11" ht="42" customHeight="1">
      <c r="A1769" s="2" t="s">
        <v>4404</v>
      </c>
      <c r="B1769" s="2" t="s">
        <v>4404</v>
      </c>
      <c r="C1769" s="2" t="s">
        <v>36</v>
      </c>
      <c r="D1769" s="2" t="s">
        <v>37</v>
      </c>
      <c r="E1769" s="5">
        <v>-30002</v>
      </c>
      <c r="F1769" s="3" t="s">
        <v>469</v>
      </c>
      <c r="G1769" s="3" t="s">
        <v>629</v>
      </c>
      <c r="H1769" s="2" t="s">
        <v>21</v>
      </c>
      <c r="I1769" s="2" t="s">
        <v>4405</v>
      </c>
      <c r="J1769" s="3" t="str">
        <f>HYPERLINK("https://www.boe.es/gazeta/dias/1817/11/08/pdfs/GMD-1817-134.pdf#page=2","Abrir facsímil")</f>
        <v>Abrir facsímil</v>
      </c>
      <c r="K1769" s="3" t="s">
        <v>23</v>
      </c>
    </row>
    <row r="1770" spans="1:11" ht="42" customHeight="1">
      <c r="A1770" s="2" t="s">
        <v>4404</v>
      </c>
      <c r="B1770" s="2" t="s">
        <v>4404</v>
      </c>
      <c r="C1770" s="2" t="s">
        <v>36</v>
      </c>
      <c r="D1770" s="2" t="s">
        <v>37</v>
      </c>
      <c r="E1770" s="5">
        <v>-30002</v>
      </c>
      <c r="F1770" s="3" t="s">
        <v>469</v>
      </c>
      <c r="G1770" s="3" t="s">
        <v>551</v>
      </c>
      <c r="H1770" s="2" t="s">
        <v>21</v>
      </c>
      <c r="I1770" s="2" t="s">
        <v>4406</v>
      </c>
      <c r="J1770" s="3" t="str">
        <f>HYPERLINK("https://www.boe.es/gazeta/dias/1817/11/08/pdfs/GMD-1817-134.pdf#page=3","Abrir facsímil")</f>
        <v>Abrir facsímil</v>
      </c>
      <c r="K1770" s="3" t="s">
        <v>23</v>
      </c>
    </row>
    <row r="1771" spans="1:11" ht="42" customHeight="1">
      <c r="A1771" s="2" t="s">
        <v>4407</v>
      </c>
      <c r="B1771" s="2" t="s">
        <v>4407</v>
      </c>
      <c r="C1771" s="2" t="s">
        <v>36</v>
      </c>
      <c r="D1771" s="2" t="s">
        <v>37</v>
      </c>
      <c r="E1771" s="5">
        <v>-30277</v>
      </c>
      <c r="F1771" s="3" t="s">
        <v>3822</v>
      </c>
      <c r="G1771" s="3" t="s">
        <v>72</v>
      </c>
      <c r="H1771" s="2" t="s">
        <v>21</v>
      </c>
      <c r="I1771" s="2" t="s">
        <v>4408</v>
      </c>
      <c r="J1771" s="3" t="str">
        <f>HYPERLINK("https://www.boe.es/gazeta/dias/1817/02/06/pdfs/GMD-1817-16.pdf#page=1","Abrir facsímil")</f>
        <v>Abrir facsímil</v>
      </c>
      <c r="K1771" s="3" t="s">
        <v>23</v>
      </c>
    </row>
    <row r="1772" spans="1:11" ht="42" customHeight="1">
      <c r="A1772" s="2" t="s">
        <v>4409</v>
      </c>
      <c r="B1772" s="2" t="s">
        <v>4409</v>
      </c>
      <c r="C1772" s="2" t="s">
        <v>43</v>
      </c>
      <c r="D1772" s="2" t="s">
        <v>44</v>
      </c>
      <c r="E1772" s="5">
        <v>-30151</v>
      </c>
      <c r="F1772" s="3" t="s">
        <v>1422</v>
      </c>
      <c r="G1772" s="3" t="s">
        <v>551</v>
      </c>
      <c r="H1772" s="2" t="s">
        <v>21</v>
      </c>
      <c r="I1772" s="2" t="s">
        <v>4410</v>
      </c>
      <c r="J1772" s="3" t="str">
        <f>HYPERLINK("https://www.boe.es/gazeta/dias/1817/06/12/pdfs/GMD-1817-70.pdf#page=3","Abrir facsímil")</f>
        <v>Abrir facsímil</v>
      </c>
      <c r="K1772" s="3" t="s">
        <v>23</v>
      </c>
    </row>
    <row r="1773" spans="1:11" ht="42" customHeight="1">
      <c r="A1773" s="2" t="s">
        <v>4411</v>
      </c>
      <c r="B1773" s="2" t="s">
        <v>4411</v>
      </c>
      <c r="C1773" s="2" t="s">
        <v>36</v>
      </c>
      <c r="D1773" s="2" t="s">
        <v>37</v>
      </c>
      <c r="E1773" s="5">
        <v>-30177</v>
      </c>
      <c r="F1773" s="3" t="s">
        <v>633</v>
      </c>
      <c r="G1773" s="3" t="s">
        <v>551</v>
      </c>
      <c r="H1773" s="2" t="s">
        <v>21</v>
      </c>
      <c r="I1773" s="2" t="s">
        <v>4412</v>
      </c>
      <c r="J1773" s="3" t="str">
        <f>HYPERLINK("https://www.boe.es/gazeta/dias/1817/05/17/pdfs/GMD-1817-59.pdf#page=3","Abrir facsímil")</f>
        <v>Abrir facsímil</v>
      </c>
      <c r="K1773" s="3" t="s">
        <v>23</v>
      </c>
    </row>
    <row r="1774" spans="1:11" ht="42" customHeight="1">
      <c r="A1774" s="2" t="s">
        <v>4411</v>
      </c>
      <c r="B1774" s="2" t="s">
        <v>4411</v>
      </c>
      <c r="C1774" s="2" t="s">
        <v>17</v>
      </c>
      <c r="D1774" s="2" t="s">
        <v>18</v>
      </c>
      <c r="E1774" s="5">
        <v>-30160</v>
      </c>
      <c r="F1774" s="3" t="s">
        <v>116</v>
      </c>
      <c r="G1774" s="3" t="s">
        <v>1557</v>
      </c>
      <c r="H1774" s="2" t="s">
        <v>21</v>
      </c>
      <c r="I1774" s="2" t="s">
        <v>4413</v>
      </c>
      <c r="J1774" s="3" t="str">
        <f>HYPERLINK("https://www.boe.es/gazeta/dias/1817/06/03/pdfs/GMD-1817-66.pdf#page=2","Abrir facsímil")</f>
        <v>Abrir facsímil</v>
      </c>
      <c r="K1774" s="3" t="s">
        <v>23</v>
      </c>
    </row>
    <row r="1775" spans="1:11" ht="42" customHeight="1">
      <c r="A1775" s="2" t="s">
        <v>4414</v>
      </c>
      <c r="B1775" s="2" t="s">
        <v>4414</v>
      </c>
      <c r="C1775" s="2" t="s">
        <v>17</v>
      </c>
      <c r="D1775" s="2" t="s">
        <v>18</v>
      </c>
      <c r="E1775" s="5">
        <v>-30170</v>
      </c>
      <c r="F1775" s="3" t="s">
        <v>98</v>
      </c>
      <c r="G1775" s="3" t="s">
        <v>144</v>
      </c>
      <c r="H1775" s="2" t="s">
        <v>21</v>
      </c>
      <c r="I1775" s="2" t="s">
        <v>4415</v>
      </c>
      <c r="J1775" s="3" t="str">
        <f>HYPERLINK("https://www.boe.es/gazeta/dias/1817/05/24/pdfs/GMD-1817-62.pdf#page=4","Abrir facsímil")</f>
        <v>Abrir facsímil</v>
      </c>
      <c r="K1775" s="3" t="s">
        <v>23</v>
      </c>
    </row>
    <row r="1776" spans="1:11" ht="42" customHeight="1">
      <c r="A1776" s="2" t="s">
        <v>4416</v>
      </c>
      <c r="B1776" s="2" t="s">
        <v>4416</v>
      </c>
      <c r="C1776" s="2" t="s">
        <v>36</v>
      </c>
      <c r="D1776" s="2" t="s">
        <v>37</v>
      </c>
      <c r="E1776" s="5">
        <v>-30191</v>
      </c>
      <c r="F1776" s="3" t="s">
        <v>420</v>
      </c>
      <c r="G1776" s="3" t="s">
        <v>144</v>
      </c>
      <c r="H1776" s="2" t="s">
        <v>21</v>
      </c>
      <c r="I1776" s="2" t="s">
        <v>4417</v>
      </c>
      <c r="J1776" s="3" t="str">
        <f>HYPERLINK("https://www.boe.es/gazeta/dias/1817/05/03/pdfs/GMD-1817-53.pdf#page=4","Abrir facsímil")</f>
        <v>Abrir facsímil</v>
      </c>
      <c r="K1776" s="3" t="s">
        <v>23</v>
      </c>
    </row>
    <row r="1777" spans="1:11" ht="42" customHeight="1">
      <c r="A1777" s="2" t="s">
        <v>4418</v>
      </c>
      <c r="B1777" s="2" t="s">
        <v>4419</v>
      </c>
      <c r="C1777" s="2" t="s">
        <v>36</v>
      </c>
      <c r="D1777" s="2" t="s">
        <v>37</v>
      </c>
      <c r="E1777" s="5">
        <v>-29985</v>
      </c>
      <c r="F1777" s="3" t="s">
        <v>76</v>
      </c>
      <c r="G1777" s="3" t="s">
        <v>82</v>
      </c>
      <c r="H1777" s="2" t="s">
        <v>21</v>
      </c>
      <c r="I1777" s="2" t="s">
        <v>4420</v>
      </c>
      <c r="J1777" s="3" t="str">
        <f>HYPERLINK("https://www.boe.es/gazeta/dias/1817/11/25/pdfs/GMD-1817-141.pdf#page=12","Abrir facsímil")</f>
        <v>Abrir facsímil</v>
      </c>
      <c r="K1777" s="3" t="s">
        <v>23</v>
      </c>
    </row>
    <row r="1778" spans="1:11" ht="42" customHeight="1">
      <c r="A1778" s="2" t="s">
        <v>4421</v>
      </c>
      <c r="B1778" s="2" t="s">
        <v>4422</v>
      </c>
      <c r="C1778" s="2" t="s">
        <v>55</v>
      </c>
      <c r="D1778" s="2" t="s">
        <v>44</v>
      </c>
      <c r="E1778" s="5">
        <v>-30144</v>
      </c>
      <c r="F1778" s="3" t="s">
        <v>846</v>
      </c>
      <c r="G1778" s="3" t="s">
        <v>57</v>
      </c>
      <c r="H1778" s="2" t="s">
        <v>21</v>
      </c>
      <c r="I1778" s="2" t="s">
        <v>4423</v>
      </c>
      <c r="J1778" s="3" t="str">
        <f>HYPERLINK("https://www.boe.es/gazeta/dias/1817/06/19/pdfs/GMD-1817-73.pdf#page=6","Abrir facsímil")</f>
        <v>Abrir facsímil</v>
      </c>
      <c r="K1778" s="3" t="s">
        <v>23</v>
      </c>
    </row>
    <row r="1779" spans="1:11" ht="42" customHeight="1">
      <c r="A1779" s="2" t="s">
        <v>4424</v>
      </c>
      <c r="B1779" s="2" t="s">
        <v>4424</v>
      </c>
      <c r="C1779" s="2" t="s">
        <v>36</v>
      </c>
      <c r="D1779" s="2" t="s">
        <v>37</v>
      </c>
      <c r="E1779" s="5">
        <v>-30272</v>
      </c>
      <c r="F1779" s="3" t="s">
        <v>493</v>
      </c>
      <c r="G1779" s="3" t="s">
        <v>629</v>
      </c>
      <c r="H1779" s="2" t="s">
        <v>21</v>
      </c>
      <c r="I1779" s="2" t="s">
        <v>4425</v>
      </c>
      <c r="J1779" s="3" t="str">
        <f>HYPERLINK("https://www.boe.es/gazeta/dias/1817/02/11/pdfs/GMD-1817-18.pdf#page=2","Abrir facsímil")</f>
        <v>Abrir facsímil</v>
      </c>
      <c r="K1779" s="3" t="s">
        <v>23</v>
      </c>
    </row>
    <row r="1780" spans="1:11" ht="42" customHeight="1">
      <c r="A1780" s="2" t="s">
        <v>4426</v>
      </c>
      <c r="B1780" s="2" t="s">
        <v>4427</v>
      </c>
      <c r="C1780" s="2" t="s">
        <v>36</v>
      </c>
      <c r="D1780" s="2" t="s">
        <v>37</v>
      </c>
      <c r="E1780" s="5">
        <v>-30265</v>
      </c>
      <c r="F1780" s="3" t="s">
        <v>107</v>
      </c>
      <c r="G1780" s="3" t="s">
        <v>77</v>
      </c>
      <c r="H1780" s="2" t="s">
        <v>21</v>
      </c>
      <c r="I1780" s="2" t="s">
        <v>4428</v>
      </c>
      <c r="J1780" s="3" t="str">
        <f>HYPERLINK("https://www.boe.es/gazeta/dias/1817/02/18/pdfs/GMD-1817-21.pdf#page=8","Abrir facsímil")</f>
        <v>Abrir facsímil</v>
      </c>
      <c r="K1780" s="3" t="s">
        <v>23</v>
      </c>
    </row>
    <row r="1781" spans="1:11" ht="42" customHeight="1">
      <c r="A1781" s="2" t="s">
        <v>4429</v>
      </c>
      <c r="B1781" s="2" t="s">
        <v>4429</v>
      </c>
      <c r="C1781" s="2" t="s">
        <v>49</v>
      </c>
      <c r="D1781" s="2" t="s">
        <v>44</v>
      </c>
      <c r="E1781" s="5">
        <v>-30032</v>
      </c>
      <c r="F1781" s="3" t="s">
        <v>337</v>
      </c>
      <c r="G1781" s="3" t="s">
        <v>144</v>
      </c>
      <c r="H1781" s="2" t="s">
        <v>21</v>
      </c>
      <c r="I1781" s="2" t="s">
        <v>4430</v>
      </c>
      <c r="J1781" s="3" t="str">
        <f>HYPERLINK("https://www.boe.es/gazeta/dias/1817/10/09/pdfs/GMD-1817-121.pdf#page=4","Abrir facsímil")</f>
        <v>Abrir facsímil</v>
      </c>
      <c r="K1781" s="3" t="s">
        <v>23</v>
      </c>
    </row>
    <row r="1782" spans="1:11" ht="42" customHeight="1">
      <c r="A1782" s="2" t="s">
        <v>4431</v>
      </c>
      <c r="B1782" s="2" t="s">
        <v>4432</v>
      </c>
      <c r="C1782" s="2" t="s">
        <v>36</v>
      </c>
      <c r="D1782" s="2" t="s">
        <v>37</v>
      </c>
      <c r="E1782" s="5">
        <v>-30013</v>
      </c>
      <c r="F1782" s="3" t="s">
        <v>464</v>
      </c>
      <c r="G1782" s="3" t="s">
        <v>77</v>
      </c>
      <c r="H1782" s="2" t="s">
        <v>21</v>
      </c>
      <c r="I1782" s="2" t="s">
        <v>4433</v>
      </c>
      <c r="J1782" s="3" t="str">
        <f>HYPERLINK("https://www.boe.es/gazeta/dias/1817/10/28/pdfs/GMD-1817-129.pdf#page=8","Abrir facsímil")</f>
        <v>Abrir facsímil</v>
      </c>
      <c r="K1782" s="3" t="s">
        <v>23</v>
      </c>
    </row>
    <row r="1783" spans="1:11" ht="42" customHeight="1">
      <c r="A1783" s="2" t="s">
        <v>4431</v>
      </c>
      <c r="B1783" s="2" t="s">
        <v>4432</v>
      </c>
      <c r="C1783" s="2" t="s">
        <v>36</v>
      </c>
      <c r="D1783" s="2" t="s">
        <v>37</v>
      </c>
      <c r="E1783" s="5">
        <v>-30002</v>
      </c>
      <c r="F1783" s="3" t="s">
        <v>469</v>
      </c>
      <c r="G1783" s="3" t="s">
        <v>77</v>
      </c>
      <c r="H1783" s="2" t="s">
        <v>21</v>
      </c>
      <c r="I1783" s="2" t="s">
        <v>4434</v>
      </c>
      <c r="J1783" s="3" t="str">
        <f>HYPERLINK("https://www.boe.es/gazeta/dias/1817/11/08/pdfs/GMD-1817-134.pdf#page=8","Abrir facsímil")</f>
        <v>Abrir facsímil</v>
      </c>
      <c r="K1783" s="3" t="s">
        <v>23</v>
      </c>
    </row>
    <row r="1784" spans="1:11" ht="42" customHeight="1">
      <c r="A1784" s="2" t="s">
        <v>4435</v>
      </c>
      <c r="B1784" s="2" t="s">
        <v>4436</v>
      </c>
      <c r="C1784" s="2" t="s">
        <v>36</v>
      </c>
      <c r="D1784" s="2" t="s">
        <v>37</v>
      </c>
      <c r="E1784" s="5">
        <v>-30095</v>
      </c>
      <c r="F1784" s="3" t="s">
        <v>365</v>
      </c>
      <c r="G1784" s="3" t="s">
        <v>82</v>
      </c>
      <c r="H1784" s="2" t="s">
        <v>27</v>
      </c>
      <c r="I1784" s="2" t="s">
        <v>4437</v>
      </c>
      <c r="J1784" s="3" t="str">
        <f>HYPERLINK("https://www.boe.es/gazeta/dias/1817/08/07/pdfs/GMD-1817-94.pdf#page=12","Abrir facsímil")</f>
        <v>Abrir facsímil</v>
      </c>
      <c r="K1784" s="3" t="s">
        <v>29</v>
      </c>
    </row>
    <row r="1785" spans="1:11" ht="42" customHeight="1">
      <c r="A1785" s="2" t="s">
        <v>4438</v>
      </c>
      <c r="B1785" s="2" t="s">
        <v>4439</v>
      </c>
      <c r="C1785" s="2" t="s">
        <v>55</v>
      </c>
      <c r="D1785" s="2" t="s">
        <v>44</v>
      </c>
      <c r="E1785" s="5">
        <v>-30268</v>
      </c>
      <c r="F1785" s="3" t="s">
        <v>1160</v>
      </c>
      <c r="G1785" s="3" t="s">
        <v>39</v>
      </c>
      <c r="H1785" s="2" t="s">
        <v>21</v>
      </c>
      <c r="I1785" s="2" t="s">
        <v>4440</v>
      </c>
      <c r="J1785" s="3" t="str">
        <f>HYPERLINK("https://www.boe.es/gazeta/dias/1817/02/15/pdfs/GMD-1817-20.pdf#page=5","Abrir facsímil")</f>
        <v>Abrir facsímil</v>
      </c>
      <c r="K1785" s="3" t="s">
        <v>23</v>
      </c>
    </row>
    <row r="1786" spans="1:11" ht="42" customHeight="1">
      <c r="A1786" s="2" t="s">
        <v>4441</v>
      </c>
      <c r="B1786" s="2" t="s">
        <v>4441</v>
      </c>
      <c r="C1786" s="2" t="s">
        <v>138</v>
      </c>
      <c r="D1786" s="2" t="s">
        <v>44</v>
      </c>
      <c r="E1786" s="5">
        <v>-30086</v>
      </c>
      <c r="F1786" s="3" t="s">
        <v>221</v>
      </c>
      <c r="G1786" s="3" t="s">
        <v>551</v>
      </c>
      <c r="H1786" s="2" t="s">
        <v>21</v>
      </c>
      <c r="I1786" s="2" t="s">
        <v>4442</v>
      </c>
      <c r="J1786" s="3" t="str">
        <f>HYPERLINK("https://www.boe.es/gazeta/dias/1817/08/16/pdfs/GMD-1817-98.pdf#page=3","Abrir facsímil")</f>
        <v>Abrir facsímil</v>
      </c>
      <c r="K1786" s="3" t="s">
        <v>23</v>
      </c>
    </row>
    <row r="1787" spans="1:11" ht="42" customHeight="1">
      <c r="A1787" s="2" t="s">
        <v>4443</v>
      </c>
      <c r="B1787" s="2" t="s">
        <v>4443</v>
      </c>
      <c r="C1787" s="2" t="s">
        <v>17</v>
      </c>
      <c r="D1787" s="2" t="s">
        <v>18</v>
      </c>
      <c r="E1787" s="5">
        <v>-30051</v>
      </c>
      <c r="F1787" s="3" t="s">
        <v>26</v>
      </c>
      <c r="G1787" s="3" t="s">
        <v>77</v>
      </c>
      <c r="H1787" s="2" t="s">
        <v>21</v>
      </c>
      <c r="I1787" s="2" t="s">
        <v>4444</v>
      </c>
      <c r="J1787" s="3" t="str">
        <f>HYPERLINK("https://www.boe.es/gazeta/dias/1817/09/20/pdfs/GMD-1817-113.pdf#page=8","Abrir facsímil")</f>
        <v>Abrir facsímil</v>
      </c>
      <c r="K1787" s="3" t="s">
        <v>23</v>
      </c>
    </row>
    <row r="1788" spans="1:11" ht="42" customHeight="1">
      <c r="A1788" s="2" t="s">
        <v>4445</v>
      </c>
      <c r="B1788" s="2" t="s">
        <v>4446</v>
      </c>
      <c r="C1788" s="2" t="s">
        <v>17</v>
      </c>
      <c r="D1788" s="2" t="s">
        <v>18</v>
      </c>
      <c r="E1788" s="5">
        <v>-29953</v>
      </c>
      <c r="F1788" s="3" t="s">
        <v>793</v>
      </c>
      <c r="G1788" s="3" t="s">
        <v>20</v>
      </c>
      <c r="H1788" s="2" t="s">
        <v>21</v>
      </c>
      <c r="I1788" s="2" t="s">
        <v>4447</v>
      </c>
      <c r="J1788" s="3" t="str">
        <f>HYPERLINK("https://www.boe.es/gazeta/dias/1817/12/27/pdfs/GMD-1817-155.pdf#page=7","Abrir facsímil")</f>
        <v>Abrir facsímil</v>
      </c>
      <c r="K1788" s="3" t="s">
        <v>23</v>
      </c>
    </row>
    <row r="1789" spans="1:11" ht="42" customHeight="1">
      <c r="A1789" s="2" t="s">
        <v>4448</v>
      </c>
      <c r="B1789" s="2" t="s">
        <v>4449</v>
      </c>
      <c r="C1789" s="2" t="s">
        <v>36</v>
      </c>
      <c r="D1789" s="2" t="s">
        <v>37</v>
      </c>
      <c r="E1789" s="5">
        <v>-30310</v>
      </c>
      <c r="F1789" s="3" t="s">
        <v>93</v>
      </c>
      <c r="G1789" s="3" t="s">
        <v>57</v>
      </c>
      <c r="H1789" s="2" t="s">
        <v>21</v>
      </c>
      <c r="I1789" s="2" t="s">
        <v>4450</v>
      </c>
      <c r="J1789" s="3" t="str">
        <f>HYPERLINK("https://www.boe.es/gazeta/dias/1817/01/04/pdfs/GMD-1817-2.pdf#page=6","Abrir facsímil")</f>
        <v>Abrir facsímil</v>
      </c>
      <c r="K1789" s="3" t="s">
        <v>23</v>
      </c>
    </row>
    <row r="1790" spans="1:11" ht="42" customHeight="1">
      <c r="A1790" s="2" t="s">
        <v>4451</v>
      </c>
      <c r="B1790" s="2" t="s">
        <v>4451</v>
      </c>
      <c r="C1790" s="2" t="s">
        <v>36</v>
      </c>
      <c r="D1790" s="2" t="s">
        <v>37</v>
      </c>
      <c r="E1790" s="5">
        <v>-30004</v>
      </c>
      <c r="F1790" s="3" t="s">
        <v>329</v>
      </c>
      <c r="G1790" s="3" t="s">
        <v>39</v>
      </c>
      <c r="H1790" s="2" t="s">
        <v>21</v>
      </c>
      <c r="I1790" s="2" t="s">
        <v>4452</v>
      </c>
      <c r="J1790" s="3" t="str">
        <f>HYPERLINK("https://www.boe.es/gazeta/dias/1817/11/06/pdfs/GMD-1817-133.pdf#page=5","Abrir facsímil")</f>
        <v>Abrir facsímil</v>
      </c>
      <c r="K1790" s="3" t="s">
        <v>23</v>
      </c>
    </row>
    <row r="1791" spans="1:11" ht="42" customHeight="1">
      <c r="A1791" s="2" t="s">
        <v>4453</v>
      </c>
      <c r="B1791" s="2" t="s">
        <v>4454</v>
      </c>
      <c r="C1791" s="2" t="s">
        <v>17</v>
      </c>
      <c r="D1791" s="2" t="s">
        <v>18</v>
      </c>
      <c r="E1791" s="5">
        <v>-29985</v>
      </c>
      <c r="F1791" s="3" t="s">
        <v>76</v>
      </c>
      <c r="G1791" s="3" t="s">
        <v>112</v>
      </c>
      <c r="H1791" s="2" t="s">
        <v>21</v>
      </c>
      <c r="I1791" s="2" t="s">
        <v>4455</v>
      </c>
      <c r="J1791" s="3" t="str">
        <f>HYPERLINK("https://www.boe.es/gazeta/dias/1817/11/25/pdfs/GMD-1817-141.pdf#page=11","Abrir facsímil")</f>
        <v>Abrir facsímil</v>
      </c>
      <c r="K1791" s="3" t="s">
        <v>23</v>
      </c>
    </row>
    <row r="1792" spans="1:11" ht="42" customHeight="1">
      <c r="A1792" s="2" t="s">
        <v>4456</v>
      </c>
      <c r="B1792" s="2" t="s">
        <v>4457</v>
      </c>
      <c r="C1792" s="2" t="s">
        <v>36</v>
      </c>
      <c r="D1792" s="2" t="s">
        <v>37</v>
      </c>
      <c r="E1792" s="5">
        <v>-30027</v>
      </c>
      <c r="F1792" s="3" t="s">
        <v>173</v>
      </c>
      <c r="G1792" s="3" t="s">
        <v>708</v>
      </c>
      <c r="H1792" s="2" t="s">
        <v>21</v>
      </c>
      <c r="I1792" s="2" t="s">
        <v>4458</v>
      </c>
      <c r="J1792" s="3" t="str">
        <f>HYPERLINK("https://www.boe.es/gazeta/dias/1817/10/14/pdfs/GMD-1817-123.pdf#page=6","Abrir facsímil")</f>
        <v>Abrir facsímil</v>
      </c>
      <c r="K1792" s="3" t="s">
        <v>23</v>
      </c>
    </row>
    <row r="1793" spans="1:11" ht="42" customHeight="1">
      <c r="A1793" s="2" t="s">
        <v>4459</v>
      </c>
      <c r="B1793" s="2" t="s">
        <v>4460</v>
      </c>
      <c r="C1793" s="2" t="s">
        <v>36</v>
      </c>
      <c r="D1793" s="2" t="s">
        <v>37</v>
      </c>
      <c r="E1793" s="5">
        <v>-30282</v>
      </c>
      <c r="F1793" s="3" t="s">
        <v>1049</v>
      </c>
      <c r="G1793" s="3" t="s">
        <v>20</v>
      </c>
      <c r="H1793" s="2" t="s">
        <v>21</v>
      </c>
      <c r="I1793" s="2" t="s">
        <v>4461</v>
      </c>
      <c r="J1793" s="3" t="str">
        <f>HYPERLINK("https://www.boe.es/gazeta/dias/1817/02/01/pdfs/GMD-1817-14.pdf#page=7","Abrir facsímil")</f>
        <v>Abrir facsímil</v>
      </c>
      <c r="K1793" s="3" t="s">
        <v>23</v>
      </c>
    </row>
    <row r="1794" spans="1:11" ht="42" customHeight="1">
      <c r="A1794" s="2" t="s">
        <v>4462</v>
      </c>
      <c r="B1794" s="2" t="s">
        <v>4463</v>
      </c>
      <c r="C1794" s="2" t="s">
        <v>55</v>
      </c>
      <c r="D1794" s="2" t="s">
        <v>44</v>
      </c>
      <c r="E1794" s="5">
        <v>-30135</v>
      </c>
      <c r="F1794" s="3" t="s">
        <v>239</v>
      </c>
      <c r="G1794" s="3" t="s">
        <v>144</v>
      </c>
      <c r="H1794" s="2" t="s">
        <v>21</v>
      </c>
      <c r="I1794" s="2" t="s">
        <v>4464</v>
      </c>
      <c r="J1794" s="3" t="str">
        <f>HYPERLINK("https://www.boe.es/gazeta/dias/1817/06/28/pdfs/GMD-1817-77.pdf#page=4","Abrir facsímil")</f>
        <v>Abrir facsímil</v>
      </c>
      <c r="K1794" s="3" t="s">
        <v>23</v>
      </c>
    </row>
    <row r="1795" spans="1:11" ht="42" customHeight="1">
      <c r="A1795" s="2" t="s">
        <v>4465</v>
      </c>
      <c r="B1795" s="2" t="s">
        <v>4466</v>
      </c>
      <c r="C1795" s="2" t="s">
        <v>49</v>
      </c>
      <c r="D1795" s="2" t="s">
        <v>44</v>
      </c>
      <c r="E1795" s="5">
        <v>-30179</v>
      </c>
      <c r="F1795" s="3" t="s">
        <v>391</v>
      </c>
      <c r="G1795" s="3" t="s">
        <v>20</v>
      </c>
      <c r="H1795" s="2" t="s">
        <v>21</v>
      </c>
      <c r="I1795" s="2" t="s">
        <v>4467</v>
      </c>
      <c r="J1795" s="3" t="str">
        <f>HYPERLINK("https://www.boe.es/gazeta/dias/1817/05/15/pdfs/GMD-1817-58.pdf#page=7","Abrir facsímil")</f>
        <v>Abrir facsímil</v>
      </c>
      <c r="K1795" s="3" t="s">
        <v>23</v>
      </c>
    </row>
    <row r="1796" spans="1:11" ht="42" customHeight="1">
      <c r="A1796" s="2" t="s">
        <v>4468</v>
      </c>
      <c r="B1796" s="2" t="s">
        <v>4469</v>
      </c>
      <c r="C1796" s="2" t="s">
        <v>43</v>
      </c>
      <c r="D1796" s="2" t="s">
        <v>44</v>
      </c>
      <c r="E1796" s="5">
        <v>-30291</v>
      </c>
      <c r="F1796" s="3" t="s">
        <v>1041</v>
      </c>
      <c r="G1796" s="3" t="s">
        <v>77</v>
      </c>
      <c r="H1796" s="2" t="s">
        <v>21</v>
      </c>
      <c r="I1796" s="2" t="s">
        <v>4470</v>
      </c>
      <c r="J1796" s="3" t="str">
        <f>HYPERLINK("https://www.boe.es/gazeta/dias/1817/01/23/pdfs/GMD-1817-10.pdf#page=8","Abrir facsímil")</f>
        <v>Abrir facsímil</v>
      </c>
      <c r="K1796" s="3" t="s">
        <v>23</v>
      </c>
    </row>
    <row r="1797" spans="1:11" ht="42" customHeight="1">
      <c r="A1797" s="2" t="s">
        <v>4468</v>
      </c>
      <c r="B1797" s="2" t="s">
        <v>4469</v>
      </c>
      <c r="C1797" s="2" t="s">
        <v>49</v>
      </c>
      <c r="D1797" s="2" t="s">
        <v>44</v>
      </c>
      <c r="E1797" s="5">
        <v>-30167</v>
      </c>
      <c r="F1797" s="3" t="s">
        <v>153</v>
      </c>
      <c r="G1797" s="3" t="s">
        <v>144</v>
      </c>
      <c r="H1797" s="2" t="s">
        <v>21</v>
      </c>
      <c r="I1797" s="2" t="s">
        <v>4471</v>
      </c>
      <c r="J1797" s="3" t="str">
        <f>HYPERLINK("https://www.boe.es/gazeta/dias/1817/05/27/pdfs/GMD-1817-63.pdf#page=4","Abrir facsímil")</f>
        <v>Abrir facsímil</v>
      </c>
      <c r="K1797" s="3" t="s">
        <v>23</v>
      </c>
    </row>
    <row r="1798" spans="1:11" ht="42" customHeight="1">
      <c r="A1798" s="2" t="s">
        <v>4468</v>
      </c>
      <c r="B1798" s="2" t="s">
        <v>4469</v>
      </c>
      <c r="C1798" s="2" t="s">
        <v>36</v>
      </c>
      <c r="D1798" s="2" t="s">
        <v>37</v>
      </c>
      <c r="E1798" s="5">
        <v>-30041</v>
      </c>
      <c r="F1798" s="3" t="s">
        <v>260</v>
      </c>
      <c r="G1798" s="3" t="s">
        <v>39</v>
      </c>
      <c r="H1798" s="2" t="s">
        <v>21</v>
      </c>
      <c r="I1798" s="2" t="s">
        <v>4472</v>
      </c>
      <c r="J1798" s="3" t="str">
        <f>HYPERLINK("https://www.boe.es/gazeta/dias/1817/09/30/pdfs/GMD-1817-117.pdf#page=5","Abrir facsímil")</f>
        <v>Abrir facsímil</v>
      </c>
      <c r="K1798" s="3" t="s">
        <v>23</v>
      </c>
    </row>
    <row r="1799" spans="1:11" ht="42" customHeight="1">
      <c r="A1799" s="2" t="s">
        <v>4468</v>
      </c>
      <c r="B1799" s="2" t="s">
        <v>4469</v>
      </c>
      <c r="C1799" s="2" t="s">
        <v>55</v>
      </c>
      <c r="D1799" s="2" t="s">
        <v>44</v>
      </c>
      <c r="E1799" s="5">
        <v>-29957</v>
      </c>
      <c r="F1799" s="3" t="s">
        <v>1001</v>
      </c>
      <c r="G1799" s="3" t="s">
        <v>4473</v>
      </c>
      <c r="H1799" s="2" t="s">
        <v>21</v>
      </c>
      <c r="I1799" s="2" t="s">
        <v>4474</v>
      </c>
      <c r="J1799" s="3" t="str">
        <f>HYPERLINK("https://www.boe.es/gazeta/dias/1817/12/23/pdfs/GMD-1817-153.pdf#page=5","Abrir facsímil")</f>
        <v>Abrir facsímil</v>
      </c>
      <c r="K1799" s="3" t="s">
        <v>23</v>
      </c>
    </row>
    <row r="1800" spans="1:11" ht="42" customHeight="1">
      <c r="A1800" s="2" t="s">
        <v>4475</v>
      </c>
      <c r="B1800" s="2" t="s">
        <v>4476</v>
      </c>
      <c r="C1800" s="2" t="s">
        <v>36</v>
      </c>
      <c r="D1800" s="2" t="s">
        <v>37</v>
      </c>
      <c r="E1800" s="5">
        <v>-30230</v>
      </c>
      <c r="F1800" s="3" t="s">
        <v>189</v>
      </c>
      <c r="G1800" s="3" t="s">
        <v>77</v>
      </c>
      <c r="H1800" s="2" t="s">
        <v>21</v>
      </c>
      <c r="I1800" s="2" t="s">
        <v>4477</v>
      </c>
      <c r="J1800" s="3" t="str">
        <f>HYPERLINK("https://www.boe.es/gazeta/dias/1817/03/25/pdfs/GMD-1817-36.pdf#page=8","Abrir facsímil")</f>
        <v>Abrir facsímil</v>
      </c>
      <c r="K1800" s="3" t="s">
        <v>23</v>
      </c>
    </row>
    <row r="1801" spans="1:11" ht="42" customHeight="1">
      <c r="A1801" s="2" t="s">
        <v>4478</v>
      </c>
      <c r="B1801" s="2" t="s">
        <v>4478</v>
      </c>
      <c r="C1801" s="2" t="s">
        <v>43</v>
      </c>
      <c r="D1801" s="2" t="s">
        <v>44</v>
      </c>
      <c r="E1801" s="5">
        <v>-30158</v>
      </c>
      <c r="F1801" s="3" t="s">
        <v>305</v>
      </c>
      <c r="G1801" s="3" t="s">
        <v>144</v>
      </c>
      <c r="H1801" s="2" t="s">
        <v>21</v>
      </c>
      <c r="I1801" s="2" t="s">
        <v>4479</v>
      </c>
      <c r="J1801" s="3" t="str">
        <f>HYPERLINK("https://www.boe.es/gazeta/dias/1817/06/05/pdfs/GMD-1817-67.pdf#page=4","Abrir facsímil")</f>
        <v>Abrir facsímil</v>
      </c>
      <c r="K1801" s="3" t="s">
        <v>23</v>
      </c>
    </row>
    <row r="1802" spans="1:11" ht="42" customHeight="1">
      <c r="A1802" s="2" t="s">
        <v>4480</v>
      </c>
      <c r="B1802" s="2" t="s">
        <v>4481</v>
      </c>
      <c r="C1802" s="2" t="s">
        <v>17</v>
      </c>
      <c r="D1802" s="2" t="s">
        <v>18</v>
      </c>
      <c r="E1802" s="5">
        <v>-30286</v>
      </c>
      <c r="F1802" s="3" t="s">
        <v>354</v>
      </c>
      <c r="G1802" s="3" t="s">
        <v>77</v>
      </c>
      <c r="H1802" s="2" t="s">
        <v>21</v>
      </c>
      <c r="I1802" s="2" t="s">
        <v>4482</v>
      </c>
      <c r="J1802" s="3" t="str">
        <f>HYPERLINK("https://www.boe.es/gazeta/dias/1817/01/28/pdfs/GMD-1817-12.pdf#page=8","Abrir facsímil")</f>
        <v>Abrir facsímil</v>
      </c>
      <c r="K1802" s="3" t="s">
        <v>23</v>
      </c>
    </row>
    <row r="1803" spans="1:11" ht="42" customHeight="1">
      <c r="A1803" s="2" t="s">
        <v>4480</v>
      </c>
      <c r="B1803" s="2" t="s">
        <v>4481</v>
      </c>
      <c r="C1803" s="2" t="s">
        <v>17</v>
      </c>
      <c r="D1803" s="2" t="s">
        <v>18</v>
      </c>
      <c r="E1803" s="5">
        <v>-30265</v>
      </c>
      <c r="F1803" s="3" t="s">
        <v>107</v>
      </c>
      <c r="G1803" s="3" t="s">
        <v>77</v>
      </c>
      <c r="H1803" s="2" t="s">
        <v>21</v>
      </c>
      <c r="I1803" s="2" t="s">
        <v>4483</v>
      </c>
      <c r="J1803" s="3" t="str">
        <f>HYPERLINK("https://www.boe.es/gazeta/dias/1817/02/18/pdfs/GMD-1817-21.pdf#page=8","Abrir facsímil")</f>
        <v>Abrir facsímil</v>
      </c>
      <c r="K1803" s="3" t="s">
        <v>23</v>
      </c>
    </row>
    <row r="1804" spans="1:11" ht="42" customHeight="1">
      <c r="A1804" s="2" t="s">
        <v>4480</v>
      </c>
      <c r="B1804" s="2" t="s">
        <v>4481</v>
      </c>
      <c r="C1804" s="2" t="s">
        <v>17</v>
      </c>
      <c r="D1804" s="2" t="s">
        <v>18</v>
      </c>
      <c r="E1804" s="5">
        <v>-30144</v>
      </c>
      <c r="F1804" s="3" t="s">
        <v>846</v>
      </c>
      <c r="G1804" s="3" t="s">
        <v>77</v>
      </c>
      <c r="H1804" s="2" t="s">
        <v>21</v>
      </c>
      <c r="I1804" s="2" t="s">
        <v>4484</v>
      </c>
      <c r="J1804" s="3" t="str">
        <f>HYPERLINK("https://www.boe.es/gazeta/dias/1817/06/19/pdfs/GMD-1817-73.pdf#page=8","Abrir facsímil")</f>
        <v>Abrir facsímil</v>
      </c>
      <c r="K1804" s="3" t="s">
        <v>23</v>
      </c>
    </row>
    <row r="1805" spans="1:11" ht="42" customHeight="1">
      <c r="A1805" s="2" t="s">
        <v>4485</v>
      </c>
      <c r="B1805" s="2" t="s">
        <v>4486</v>
      </c>
      <c r="C1805" s="2" t="s">
        <v>17</v>
      </c>
      <c r="D1805" s="2" t="s">
        <v>18</v>
      </c>
      <c r="E1805" s="5">
        <v>-30142</v>
      </c>
      <c r="F1805" s="3" t="s">
        <v>286</v>
      </c>
      <c r="G1805" s="3" t="s">
        <v>497</v>
      </c>
      <c r="H1805" s="2" t="s">
        <v>21</v>
      </c>
      <c r="I1805" s="2" t="s">
        <v>4487</v>
      </c>
      <c r="J1805" s="3" t="str">
        <f>HYPERLINK("https://www.boe.es/gazeta/dias/1817/06/21/pdfs/GMD-1817-74.pdf#page=8","Abrir facsímil")</f>
        <v>Abrir facsímil</v>
      </c>
      <c r="K1805" s="3" t="s">
        <v>23</v>
      </c>
    </row>
    <row r="1806" spans="1:11" ht="42" customHeight="1">
      <c r="A1806" s="2" t="s">
        <v>4488</v>
      </c>
      <c r="B1806" s="2" t="s">
        <v>4489</v>
      </c>
      <c r="C1806" s="2" t="s">
        <v>55</v>
      </c>
      <c r="D1806" s="2" t="s">
        <v>44</v>
      </c>
      <c r="E1806" s="5">
        <v>-30065</v>
      </c>
      <c r="F1806" s="3" t="s">
        <v>201</v>
      </c>
      <c r="G1806" s="3" t="s">
        <v>57</v>
      </c>
      <c r="H1806" s="2" t="s">
        <v>21</v>
      </c>
      <c r="I1806" s="2" t="s">
        <v>4490</v>
      </c>
      <c r="J1806" s="3" t="str">
        <f>HYPERLINK("https://www.boe.es/gazeta/dias/1817/09/06/pdfs/GMD-1817-107.pdf#page=6","Abrir facsímil")</f>
        <v>Abrir facsímil</v>
      </c>
      <c r="K1806" s="3" t="s">
        <v>23</v>
      </c>
    </row>
    <row r="1807" spans="1:11" ht="42" customHeight="1">
      <c r="A1807" s="2" t="s">
        <v>4491</v>
      </c>
      <c r="B1807" s="2" t="s">
        <v>4492</v>
      </c>
      <c r="C1807" s="2" t="s">
        <v>36</v>
      </c>
      <c r="D1807" s="2" t="s">
        <v>37</v>
      </c>
      <c r="E1807" s="5">
        <v>-29962</v>
      </c>
      <c r="F1807" s="3" t="s">
        <v>485</v>
      </c>
      <c r="G1807" s="3" t="s">
        <v>39</v>
      </c>
      <c r="H1807" s="2" t="s">
        <v>21</v>
      </c>
      <c r="I1807" s="2" t="s">
        <v>4493</v>
      </c>
      <c r="J1807" s="3" t="str">
        <f>HYPERLINK("https://www.boe.es/gazeta/dias/1817/12/18/pdfs/GMD-1817-151.pdf#page=5","Abrir facsímil")</f>
        <v>Abrir facsímil</v>
      </c>
      <c r="K1807" s="3" t="s">
        <v>23</v>
      </c>
    </row>
    <row r="1808" spans="1:11" ht="42" customHeight="1">
      <c r="A1808" s="2" t="s">
        <v>4494</v>
      </c>
      <c r="B1808" s="2" t="s">
        <v>4495</v>
      </c>
      <c r="C1808" s="2" t="s">
        <v>17</v>
      </c>
      <c r="D1808" s="2" t="s">
        <v>18</v>
      </c>
      <c r="E1808" s="5">
        <v>-30263</v>
      </c>
      <c r="F1808" s="3" t="s">
        <v>1794</v>
      </c>
      <c r="G1808" s="3" t="s">
        <v>4496</v>
      </c>
      <c r="H1808" s="2" t="s">
        <v>21</v>
      </c>
      <c r="I1808" s="2" t="s">
        <v>4497</v>
      </c>
      <c r="J1808" s="3" t="str">
        <f>HYPERLINK("https://www.boe.es/gazeta/dias/1817/02/20/pdfs/GMD-1817-22.pdf#page=8","Abrir facsímil")</f>
        <v>Abrir facsímil</v>
      </c>
      <c r="K1808" s="3" t="s">
        <v>23</v>
      </c>
    </row>
    <row r="1809" spans="1:11" ht="42" customHeight="1">
      <c r="A1809" s="2" t="s">
        <v>4498</v>
      </c>
      <c r="B1809" s="2" t="s">
        <v>4499</v>
      </c>
      <c r="C1809" s="2" t="s">
        <v>17</v>
      </c>
      <c r="D1809" s="2" t="s">
        <v>18</v>
      </c>
      <c r="E1809" s="5">
        <v>-30284</v>
      </c>
      <c r="F1809" s="3" t="s">
        <v>741</v>
      </c>
      <c r="G1809" s="3" t="s">
        <v>77</v>
      </c>
      <c r="H1809" s="2" t="s">
        <v>21</v>
      </c>
      <c r="I1809" s="2" t="s">
        <v>4500</v>
      </c>
      <c r="J1809" s="3" t="str">
        <f>HYPERLINK("https://www.boe.es/gazeta/dias/1817/01/30/pdfs/GMD-1817-13.pdf#page=8","Abrir facsímil")</f>
        <v>Abrir facsímil</v>
      </c>
      <c r="K1809" s="3" t="s">
        <v>23</v>
      </c>
    </row>
    <row r="1810" spans="1:11" ht="42" customHeight="1">
      <c r="A1810" s="2" t="s">
        <v>4501</v>
      </c>
      <c r="B1810" s="2" t="s">
        <v>4502</v>
      </c>
      <c r="C1810" s="2" t="s">
        <v>36</v>
      </c>
      <c r="D1810" s="2" t="s">
        <v>37</v>
      </c>
      <c r="E1810" s="5">
        <v>-30235</v>
      </c>
      <c r="F1810" s="3" t="s">
        <v>398</v>
      </c>
      <c r="G1810" s="3" t="s">
        <v>20</v>
      </c>
      <c r="H1810" s="2" t="s">
        <v>21</v>
      </c>
      <c r="I1810" s="2" t="s">
        <v>4503</v>
      </c>
      <c r="J1810" s="3" t="str">
        <f>HYPERLINK("https://www.boe.es/gazeta/dias/1817/03/20/pdfs/GMD-1817-34.pdf#page=7","Abrir facsímil")</f>
        <v>Abrir facsímil</v>
      </c>
      <c r="K1810" s="3" t="s">
        <v>23</v>
      </c>
    </row>
    <row r="1811" spans="1:11" ht="42" customHeight="1">
      <c r="A1811" s="2" t="s">
        <v>4504</v>
      </c>
      <c r="B1811" s="2" t="s">
        <v>4505</v>
      </c>
      <c r="C1811" s="2" t="s">
        <v>17</v>
      </c>
      <c r="D1811" s="2" t="s">
        <v>18</v>
      </c>
      <c r="E1811" s="5">
        <v>-30041</v>
      </c>
      <c r="F1811" s="3" t="s">
        <v>260</v>
      </c>
      <c r="G1811" s="3" t="s">
        <v>39</v>
      </c>
      <c r="H1811" s="2" t="s">
        <v>21</v>
      </c>
      <c r="I1811" s="2" t="s">
        <v>4506</v>
      </c>
      <c r="J1811" s="3" t="str">
        <f>HYPERLINK("https://www.boe.es/gazeta/dias/1817/09/30/pdfs/GMD-1817-117.pdf#page=5","Abrir facsímil")</f>
        <v>Abrir facsímil</v>
      </c>
      <c r="K1811" s="3" t="s">
        <v>23</v>
      </c>
    </row>
    <row r="1812" spans="1:11" ht="42" customHeight="1">
      <c r="A1812" s="2" t="s">
        <v>4507</v>
      </c>
      <c r="B1812" s="2" t="s">
        <v>4507</v>
      </c>
      <c r="C1812" s="2" t="s">
        <v>36</v>
      </c>
      <c r="D1812" s="2" t="s">
        <v>37</v>
      </c>
      <c r="E1812" s="5">
        <v>-30146</v>
      </c>
      <c r="F1812" s="3" t="s">
        <v>1005</v>
      </c>
      <c r="G1812" s="3" t="s">
        <v>629</v>
      </c>
      <c r="H1812" s="2" t="s">
        <v>21</v>
      </c>
      <c r="I1812" s="2" t="s">
        <v>4508</v>
      </c>
      <c r="J1812" s="3" t="str">
        <f>HYPERLINK("https://www.boe.es/gazeta/dias/1817/06/17/pdfs/GMD-1817-72.pdf#page=2","Abrir facsímil")</f>
        <v>Abrir facsímil</v>
      </c>
      <c r="K1812" s="3" t="s">
        <v>23</v>
      </c>
    </row>
    <row r="1813" spans="1:11" ht="42" customHeight="1">
      <c r="A1813" s="2" t="s">
        <v>4509</v>
      </c>
      <c r="B1813" s="2" t="s">
        <v>4510</v>
      </c>
      <c r="C1813" s="2" t="s">
        <v>17</v>
      </c>
      <c r="D1813" s="2" t="s">
        <v>18</v>
      </c>
      <c r="E1813" s="5">
        <v>-30062</v>
      </c>
      <c r="F1813" s="3" t="s">
        <v>444</v>
      </c>
      <c r="G1813" s="3" t="s">
        <v>82</v>
      </c>
      <c r="H1813" s="2" t="s">
        <v>21</v>
      </c>
      <c r="I1813" s="2" t="s">
        <v>4511</v>
      </c>
      <c r="J1813" s="3" t="str">
        <f>HYPERLINK("https://www.boe.es/gazeta/dias/1817/09/09/pdfs/GMD-1817-108.pdf#page=12","Abrir facsímil")</f>
        <v>Abrir facsímil</v>
      </c>
      <c r="K1813" s="3" t="s">
        <v>23</v>
      </c>
    </row>
    <row r="1814" spans="1:11" ht="42" customHeight="1">
      <c r="A1814" s="2" t="s">
        <v>4512</v>
      </c>
      <c r="B1814" s="2" t="s">
        <v>4512</v>
      </c>
      <c r="C1814" s="2" t="s">
        <v>36</v>
      </c>
      <c r="D1814" s="2" t="s">
        <v>37</v>
      </c>
      <c r="E1814" s="5">
        <v>-30090</v>
      </c>
      <c r="F1814" s="3" t="s">
        <v>89</v>
      </c>
      <c r="G1814" s="3" t="s">
        <v>39</v>
      </c>
      <c r="H1814" s="2" t="s">
        <v>21</v>
      </c>
      <c r="I1814" s="2" t="s">
        <v>4513</v>
      </c>
      <c r="J1814" s="3" t="str">
        <f>HYPERLINK("https://www.boe.es/gazeta/dias/1817/08/12/pdfs/GMD-1817-96.pdf#page=5","Abrir facsímil")</f>
        <v>Abrir facsímil</v>
      </c>
      <c r="K1814" s="3" t="s">
        <v>23</v>
      </c>
    </row>
    <row r="1815" spans="1:11" ht="42" customHeight="1">
      <c r="A1815" s="2" t="s">
        <v>4512</v>
      </c>
      <c r="B1815" s="2" t="s">
        <v>4512</v>
      </c>
      <c r="C1815" s="2" t="s">
        <v>36</v>
      </c>
      <c r="D1815" s="2" t="s">
        <v>37</v>
      </c>
      <c r="E1815" s="5">
        <v>-29985</v>
      </c>
      <c r="F1815" s="3" t="s">
        <v>76</v>
      </c>
      <c r="G1815" s="3" t="s">
        <v>57</v>
      </c>
      <c r="H1815" s="2" t="s">
        <v>21</v>
      </c>
      <c r="I1815" s="2" t="s">
        <v>4514</v>
      </c>
      <c r="J1815" s="3" t="str">
        <f>HYPERLINK("https://www.boe.es/gazeta/dias/1817/11/25/pdfs/GMD-1817-141.pdf#page=6","Abrir facsímil")</f>
        <v>Abrir facsímil</v>
      </c>
      <c r="K1815" s="3" t="s">
        <v>23</v>
      </c>
    </row>
    <row r="1816" spans="1:11" ht="42" customHeight="1">
      <c r="A1816" s="2" t="s">
        <v>4515</v>
      </c>
      <c r="B1816" s="2" t="s">
        <v>4516</v>
      </c>
      <c r="C1816" s="2" t="s">
        <v>36</v>
      </c>
      <c r="D1816" s="2" t="s">
        <v>37</v>
      </c>
      <c r="E1816" s="5">
        <v>-30090</v>
      </c>
      <c r="F1816" s="3" t="s">
        <v>89</v>
      </c>
      <c r="G1816" s="3" t="s">
        <v>1839</v>
      </c>
      <c r="H1816" s="2" t="s">
        <v>21</v>
      </c>
      <c r="I1816" s="2" t="s">
        <v>4517</v>
      </c>
      <c r="J1816" s="3" t="str">
        <f>HYPERLINK("https://www.boe.es/gazeta/dias/1817/08/12/pdfs/GMD-1817-96.pdf#page=4","Abrir facsímil")</f>
        <v>Abrir facsímil</v>
      </c>
      <c r="K1816" s="3" t="s">
        <v>23</v>
      </c>
    </row>
    <row r="1817" spans="1:11" ht="42" customHeight="1">
      <c r="A1817" s="2" t="s">
        <v>4515</v>
      </c>
      <c r="B1817" s="2" t="s">
        <v>4516</v>
      </c>
      <c r="C1817" s="2" t="s">
        <v>36</v>
      </c>
      <c r="D1817" s="2" t="s">
        <v>37</v>
      </c>
      <c r="E1817" s="5">
        <v>-30076</v>
      </c>
      <c r="F1817" s="3" t="s">
        <v>439</v>
      </c>
      <c r="G1817" s="3" t="s">
        <v>144</v>
      </c>
      <c r="H1817" s="2" t="s">
        <v>21</v>
      </c>
      <c r="I1817" s="2" t="s">
        <v>4518</v>
      </c>
      <c r="J1817" s="3" t="str">
        <f>HYPERLINK("https://www.boe.es/gazeta/dias/1817/08/26/pdfs/GMD-1817-102.pdf#page=4","Abrir facsímil")</f>
        <v>Abrir facsímil</v>
      </c>
      <c r="K1817" s="3" t="s">
        <v>23</v>
      </c>
    </row>
    <row r="1818" spans="1:11" ht="42" customHeight="1">
      <c r="A1818" s="2" t="s">
        <v>4515</v>
      </c>
      <c r="B1818" s="2" t="s">
        <v>4516</v>
      </c>
      <c r="C1818" s="2" t="s">
        <v>36</v>
      </c>
      <c r="D1818" s="2" t="s">
        <v>37</v>
      </c>
      <c r="E1818" s="5">
        <v>-29985</v>
      </c>
      <c r="F1818" s="3" t="s">
        <v>76</v>
      </c>
      <c r="G1818" s="3" t="s">
        <v>39</v>
      </c>
      <c r="H1818" s="2" t="s">
        <v>21</v>
      </c>
      <c r="I1818" s="2" t="s">
        <v>4519</v>
      </c>
      <c r="J1818" s="3" t="str">
        <f>HYPERLINK("https://www.boe.es/gazeta/dias/1817/11/25/pdfs/GMD-1817-141.pdf#page=5","Abrir facsímil")</f>
        <v>Abrir facsímil</v>
      </c>
      <c r="K1818" s="3" t="s">
        <v>23</v>
      </c>
    </row>
    <row r="1819" spans="1:11" ht="42" customHeight="1">
      <c r="A1819" s="2" t="s">
        <v>4520</v>
      </c>
      <c r="B1819" s="2" t="s">
        <v>4520</v>
      </c>
      <c r="C1819" s="2" t="s">
        <v>36</v>
      </c>
      <c r="D1819" s="2" t="s">
        <v>37</v>
      </c>
      <c r="E1819" s="5">
        <v>-30233</v>
      </c>
      <c r="F1819" s="3" t="s">
        <v>577</v>
      </c>
      <c r="G1819" s="3" t="s">
        <v>551</v>
      </c>
      <c r="H1819" s="2" t="s">
        <v>21</v>
      </c>
      <c r="I1819" s="2" t="s">
        <v>4521</v>
      </c>
      <c r="J1819" s="3" t="str">
        <f>HYPERLINK("https://www.boe.es/gazeta/dias/1817/03/22/pdfs/GMD-1817-35.pdf#page=3","Abrir facsímil")</f>
        <v>Abrir facsímil</v>
      </c>
      <c r="K1819" s="3" t="s">
        <v>23</v>
      </c>
    </row>
    <row r="1820" spans="1:11" ht="42" customHeight="1">
      <c r="A1820" s="2" t="s">
        <v>4522</v>
      </c>
      <c r="B1820" s="2" t="s">
        <v>4523</v>
      </c>
      <c r="C1820" s="2" t="s">
        <v>43</v>
      </c>
      <c r="D1820" s="2" t="s">
        <v>44</v>
      </c>
      <c r="E1820" s="5">
        <v>-30265</v>
      </c>
      <c r="F1820" s="3" t="s">
        <v>107</v>
      </c>
      <c r="G1820" s="3" t="s">
        <v>997</v>
      </c>
      <c r="H1820" s="2" t="s">
        <v>21</v>
      </c>
      <c r="I1820" s="2" t="s">
        <v>4524</v>
      </c>
      <c r="J1820" s="3" t="str">
        <f>HYPERLINK("https://www.boe.es/gazeta/dias/1817/02/18/pdfs/GMD-1817-21.pdf#page=5","Abrir facsímil")</f>
        <v>Abrir facsímil</v>
      </c>
      <c r="K1820" s="3" t="s">
        <v>23</v>
      </c>
    </row>
    <row r="1821" spans="1:11" ht="42" customHeight="1">
      <c r="A1821" s="2" t="s">
        <v>4525</v>
      </c>
      <c r="B1821" s="2" t="s">
        <v>4526</v>
      </c>
      <c r="C1821" s="2" t="s">
        <v>17</v>
      </c>
      <c r="D1821" s="2" t="s">
        <v>18</v>
      </c>
      <c r="E1821" s="5">
        <v>-30097</v>
      </c>
      <c r="F1821" s="3" t="s">
        <v>156</v>
      </c>
      <c r="G1821" s="3" t="s">
        <v>2493</v>
      </c>
      <c r="H1821" s="2" t="s">
        <v>21</v>
      </c>
      <c r="I1821" s="2" t="s">
        <v>4527</v>
      </c>
      <c r="J1821" s="3" t="str">
        <f>HYPERLINK("https://www.boe.es/gazeta/dias/1817/08/05/pdfs/GMD-1817-93.pdf#page=8","Abrir facsímil")</f>
        <v>Abrir facsímil</v>
      </c>
      <c r="K1821" s="3" t="s">
        <v>23</v>
      </c>
    </row>
    <row r="1822" spans="1:11" ht="42" customHeight="1">
      <c r="A1822" s="2" t="s">
        <v>4528</v>
      </c>
      <c r="B1822" s="2" t="s">
        <v>4529</v>
      </c>
      <c r="C1822" s="2" t="s">
        <v>36</v>
      </c>
      <c r="D1822" s="2" t="s">
        <v>37</v>
      </c>
      <c r="E1822" s="5">
        <v>-30041</v>
      </c>
      <c r="F1822" s="3" t="s">
        <v>260</v>
      </c>
      <c r="G1822" s="3" t="s">
        <v>39</v>
      </c>
      <c r="H1822" s="2" t="s">
        <v>21</v>
      </c>
      <c r="I1822" s="2" t="s">
        <v>4530</v>
      </c>
      <c r="J1822" s="3" t="str">
        <f>HYPERLINK("https://www.boe.es/gazeta/dias/1817/09/30/pdfs/GMD-1817-117.pdf#page=5","Abrir facsímil")</f>
        <v>Abrir facsímil</v>
      </c>
      <c r="K1822" s="3" t="s">
        <v>23</v>
      </c>
    </row>
    <row r="1823" spans="1:11" ht="42" customHeight="1">
      <c r="A1823" s="2" t="s">
        <v>4531</v>
      </c>
      <c r="B1823" s="2" t="s">
        <v>4532</v>
      </c>
      <c r="C1823" s="2" t="s">
        <v>36</v>
      </c>
      <c r="D1823" s="2" t="s">
        <v>37</v>
      </c>
      <c r="E1823" s="5">
        <v>-30032</v>
      </c>
      <c r="F1823" s="3" t="s">
        <v>337</v>
      </c>
      <c r="G1823" s="3" t="s">
        <v>144</v>
      </c>
      <c r="H1823" s="2" t="s">
        <v>21</v>
      </c>
      <c r="I1823" s="2" t="s">
        <v>4533</v>
      </c>
      <c r="J1823" s="3" t="str">
        <f>HYPERLINK("https://www.boe.es/gazeta/dias/1817/10/09/pdfs/GMD-1817-121.pdf#page=4","Abrir facsímil")</f>
        <v>Abrir facsímil</v>
      </c>
      <c r="K1823" s="3" t="s">
        <v>23</v>
      </c>
    </row>
    <row r="1824" spans="1:11" ht="42" customHeight="1">
      <c r="A1824" s="2" t="s">
        <v>4534</v>
      </c>
      <c r="B1824" s="2" t="s">
        <v>4535</v>
      </c>
      <c r="C1824" s="2" t="s">
        <v>36</v>
      </c>
      <c r="D1824" s="2" t="s">
        <v>37</v>
      </c>
      <c r="E1824" s="5">
        <v>-30249</v>
      </c>
      <c r="F1824" s="3" t="s">
        <v>120</v>
      </c>
      <c r="G1824" s="3" t="s">
        <v>20</v>
      </c>
      <c r="H1824" s="2" t="s">
        <v>21</v>
      </c>
      <c r="I1824" s="2" t="s">
        <v>4536</v>
      </c>
      <c r="J1824" s="3" t="str">
        <f>HYPERLINK("https://www.boe.es/gazeta/dias/1817/03/06/pdfs/GMD-1817-28.pdf#page=7","Abrir facsímil")</f>
        <v>Abrir facsímil</v>
      </c>
      <c r="K1824" s="3" t="s">
        <v>23</v>
      </c>
    </row>
    <row r="1825" spans="1:11" ht="42" customHeight="1">
      <c r="A1825" s="2" t="s">
        <v>4537</v>
      </c>
      <c r="B1825" s="2" t="s">
        <v>4537</v>
      </c>
      <c r="C1825" s="2" t="s">
        <v>36</v>
      </c>
      <c r="D1825" s="2" t="s">
        <v>37</v>
      </c>
      <c r="E1825" s="5">
        <v>-30279</v>
      </c>
      <c r="F1825" s="3" t="s">
        <v>1113</v>
      </c>
      <c r="G1825" s="3" t="s">
        <v>144</v>
      </c>
      <c r="H1825" s="2" t="s">
        <v>21</v>
      </c>
      <c r="I1825" s="2" t="s">
        <v>4538</v>
      </c>
      <c r="J1825" s="3" t="str">
        <f>HYPERLINK("https://www.boe.es/gazeta/dias/1817/02/04/pdfs/GMD-1817-15.pdf#page=4","Abrir facsímil")</f>
        <v>Abrir facsímil</v>
      </c>
      <c r="K1825" s="3" t="s">
        <v>23</v>
      </c>
    </row>
    <row r="1826" spans="1:11" ht="42" customHeight="1">
      <c r="A1826" s="2" t="s">
        <v>4539</v>
      </c>
      <c r="B1826" s="2" t="s">
        <v>4540</v>
      </c>
      <c r="C1826" s="2" t="s">
        <v>36</v>
      </c>
      <c r="D1826" s="2" t="s">
        <v>37</v>
      </c>
      <c r="E1826" s="5">
        <v>-30200</v>
      </c>
      <c r="F1826" s="3" t="s">
        <v>725</v>
      </c>
      <c r="G1826" s="3" t="s">
        <v>77</v>
      </c>
      <c r="H1826" s="2" t="s">
        <v>21</v>
      </c>
      <c r="I1826" s="2" t="s">
        <v>4541</v>
      </c>
      <c r="J1826" s="3" t="str">
        <f>HYPERLINK("https://www.boe.es/gazeta/dias/1817/04/24/pdfs/GMD-1817-49.pdf#page=8","Abrir facsímil")</f>
        <v>Abrir facsímil</v>
      </c>
      <c r="K1826" s="3" t="s">
        <v>23</v>
      </c>
    </row>
    <row r="1827" spans="1:11" ht="42" customHeight="1">
      <c r="A1827" s="2" t="s">
        <v>4542</v>
      </c>
      <c r="B1827" s="2" t="s">
        <v>4542</v>
      </c>
      <c r="C1827" s="2" t="s">
        <v>36</v>
      </c>
      <c r="D1827" s="2" t="s">
        <v>37</v>
      </c>
      <c r="E1827" s="5">
        <v>-30076</v>
      </c>
      <c r="F1827" s="3" t="s">
        <v>439</v>
      </c>
      <c r="G1827" s="3" t="s">
        <v>551</v>
      </c>
      <c r="H1827" s="2" t="s">
        <v>21</v>
      </c>
      <c r="I1827" s="2" t="s">
        <v>4543</v>
      </c>
      <c r="J1827" s="3" t="str">
        <f>HYPERLINK("https://www.boe.es/gazeta/dias/1817/08/26/pdfs/GMD-1817-102.pdf#page=3","Abrir facsímil")</f>
        <v>Abrir facsímil</v>
      </c>
      <c r="K1827" s="3" t="s">
        <v>23</v>
      </c>
    </row>
    <row r="1828" spans="1:11" ht="42" customHeight="1">
      <c r="A1828" s="2" t="s">
        <v>4544</v>
      </c>
      <c r="B1828" s="2" t="s">
        <v>4544</v>
      </c>
      <c r="C1828" s="2" t="s">
        <v>36</v>
      </c>
      <c r="D1828" s="2" t="s">
        <v>37</v>
      </c>
      <c r="E1828" s="5">
        <v>-30214</v>
      </c>
      <c r="F1828" s="3" t="s">
        <v>631</v>
      </c>
      <c r="G1828" s="3" t="s">
        <v>144</v>
      </c>
      <c r="H1828" s="2" t="s">
        <v>21</v>
      </c>
      <c r="I1828" s="2" t="s">
        <v>4545</v>
      </c>
      <c r="J1828" s="3" t="str">
        <f>HYPERLINK("https://www.boe.es/gazeta/dias/1817/04/10/pdfs/GMD-1817-43.pdf#page=4","Abrir facsímil")</f>
        <v>Abrir facsímil</v>
      </c>
      <c r="K1828" s="3" t="s">
        <v>23</v>
      </c>
    </row>
    <row r="1829" spans="1:11" ht="42" customHeight="1">
      <c r="A1829" s="2" t="s">
        <v>4546</v>
      </c>
      <c r="B1829" s="2" t="s">
        <v>4547</v>
      </c>
      <c r="C1829" s="2" t="s">
        <v>36</v>
      </c>
      <c r="D1829" s="2" t="s">
        <v>37</v>
      </c>
      <c r="E1829" s="5">
        <v>-30296</v>
      </c>
      <c r="F1829" s="3" t="s">
        <v>357</v>
      </c>
      <c r="G1829" s="3" t="s">
        <v>4548</v>
      </c>
      <c r="H1829" s="2" t="s">
        <v>21</v>
      </c>
      <c r="I1829" s="2" t="s">
        <v>4549</v>
      </c>
      <c r="J1829" s="3" t="str">
        <f>HYPERLINK("https://www.boe.es/gazeta/dias/1817/01/18/pdfs/GMD-1817-8.pdf#page=4","Abrir facsímil")</f>
        <v>Abrir facsímil</v>
      </c>
      <c r="K1829" s="3" t="s">
        <v>23</v>
      </c>
    </row>
    <row r="1830" spans="1:11" ht="42" customHeight="1">
      <c r="A1830" s="2" t="s">
        <v>4546</v>
      </c>
      <c r="B1830" s="2" t="s">
        <v>4547</v>
      </c>
      <c r="C1830" s="2" t="s">
        <v>36</v>
      </c>
      <c r="D1830" s="2" t="s">
        <v>37</v>
      </c>
      <c r="E1830" s="5">
        <v>-30296</v>
      </c>
      <c r="F1830" s="3" t="s">
        <v>357</v>
      </c>
      <c r="G1830" s="3" t="s">
        <v>39</v>
      </c>
      <c r="H1830" s="2" t="s">
        <v>21</v>
      </c>
      <c r="I1830" s="2" t="s">
        <v>4550</v>
      </c>
      <c r="J1830" s="3" t="str">
        <f>HYPERLINK("https://www.boe.es/gazeta/dias/1817/01/18/pdfs/GMD-1817-8.pdf#page=5","Abrir facsímil")</f>
        <v>Abrir facsímil</v>
      </c>
      <c r="K1830" s="3" t="s">
        <v>23</v>
      </c>
    </row>
    <row r="1831" spans="1:11" ht="42" customHeight="1">
      <c r="A1831" s="2" t="s">
        <v>4546</v>
      </c>
      <c r="B1831" s="2" t="s">
        <v>4547</v>
      </c>
      <c r="C1831" s="2" t="s">
        <v>43</v>
      </c>
      <c r="D1831" s="2" t="s">
        <v>44</v>
      </c>
      <c r="E1831" s="5">
        <v>-30296</v>
      </c>
      <c r="F1831" s="3" t="s">
        <v>357</v>
      </c>
      <c r="G1831" s="3" t="s">
        <v>20</v>
      </c>
      <c r="H1831" s="2" t="s">
        <v>21</v>
      </c>
      <c r="I1831" s="2" t="s">
        <v>4551</v>
      </c>
      <c r="J1831" s="3" t="str">
        <f>HYPERLINK("https://www.boe.es/gazeta/dias/1817/01/18/pdfs/GMD-1817-8.pdf#page=7","Abrir facsímil")</f>
        <v>Abrir facsímil</v>
      </c>
      <c r="K1831" s="3" t="s">
        <v>23</v>
      </c>
    </row>
    <row r="1832" spans="1:11" ht="42" customHeight="1">
      <c r="A1832" s="2" t="s">
        <v>4552</v>
      </c>
      <c r="B1832" s="2" t="s">
        <v>4553</v>
      </c>
      <c r="C1832" s="2" t="s">
        <v>36</v>
      </c>
      <c r="D1832" s="2" t="s">
        <v>37</v>
      </c>
      <c r="E1832" s="5">
        <v>-30065</v>
      </c>
      <c r="F1832" s="3" t="s">
        <v>201</v>
      </c>
      <c r="G1832" s="3" t="s">
        <v>4554</v>
      </c>
      <c r="H1832" s="2" t="s">
        <v>21</v>
      </c>
      <c r="I1832" s="2" t="s">
        <v>4555</v>
      </c>
      <c r="J1832" s="3" t="str">
        <f>HYPERLINK("https://www.boe.es/gazeta/dias/1817/09/06/pdfs/GMD-1817-107.pdf#page=5","Abrir facsímil")</f>
        <v>Abrir facsímil</v>
      </c>
      <c r="K1832" s="3" t="s">
        <v>23</v>
      </c>
    </row>
    <row r="1833" spans="1:11" ht="42" customHeight="1">
      <c r="A1833" s="2" t="s">
        <v>4556</v>
      </c>
      <c r="B1833" s="2" t="s">
        <v>4557</v>
      </c>
      <c r="C1833" s="2" t="s">
        <v>43</v>
      </c>
      <c r="D1833" s="2" t="s">
        <v>44</v>
      </c>
      <c r="E1833" s="5">
        <v>-30013</v>
      </c>
      <c r="F1833" s="3" t="s">
        <v>464</v>
      </c>
      <c r="G1833" s="3" t="s">
        <v>39</v>
      </c>
      <c r="H1833" s="2" t="s">
        <v>21</v>
      </c>
      <c r="I1833" s="2" t="s">
        <v>4558</v>
      </c>
      <c r="J1833" s="3" t="str">
        <f>HYPERLINK("https://www.boe.es/gazeta/dias/1817/10/28/pdfs/GMD-1817-129.pdf#page=5","Abrir facsímil")</f>
        <v>Abrir facsímil</v>
      </c>
      <c r="K1833" s="3" t="s">
        <v>23</v>
      </c>
    </row>
    <row r="1834" spans="1:11" ht="42" customHeight="1">
      <c r="A1834" s="2" t="s">
        <v>4559</v>
      </c>
      <c r="B1834" s="2" t="s">
        <v>4560</v>
      </c>
      <c r="C1834" s="2" t="s">
        <v>55</v>
      </c>
      <c r="D1834" s="2" t="s">
        <v>44</v>
      </c>
      <c r="E1834" s="5">
        <v>-30254</v>
      </c>
      <c r="F1834" s="3" t="s">
        <v>124</v>
      </c>
      <c r="G1834" s="3" t="s">
        <v>125</v>
      </c>
      <c r="H1834" s="2" t="s">
        <v>21</v>
      </c>
      <c r="I1834" s="2" t="s">
        <v>4561</v>
      </c>
      <c r="J1834" s="3" t="str">
        <f>HYPERLINK("https://www.boe.es/gazeta/dias/1817/03/01/pdfs/GMD-1817-26.pdf#page=5","Abrir facsímil")</f>
        <v>Abrir facsímil</v>
      </c>
      <c r="K1834" s="3" t="s">
        <v>23</v>
      </c>
    </row>
    <row r="1835" spans="1:11" ht="42" customHeight="1">
      <c r="A1835" s="2" t="s">
        <v>4562</v>
      </c>
      <c r="B1835" s="2" t="s">
        <v>4563</v>
      </c>
      <c r="C1835" s="2" t="s">
        <v>36</v>
      </c>
      <c r="D1835" s="2" t="s">
        <v>37</v>
      </c>
      <c r="E1835" s="5">
        <v>-29988</v>
      </c>
      <c r="F1835" s="3" t="s">
        <v>569</v>
      </c>
      <c r="G1835" s="3" t="s">
        <v>112</v>
      </c>
      <c r="H1835" s="2" t="s">
        <v>21</v>
      </c>
      <c r="I1835" s="2" t="s">
        <v>4564</v>
      </c>
      <c r="J1835" s="3" t="str">
        <f>HYPERLINK("https://www.boe.es/gazeta/dias/1817/11/22/pdfs/GMD-1817-140.pdf#page=11","Abrir facsímil")</f>
        <v>Abrir facsímil</v>
      </c>
      <c r="K1835" s="3" t="s">
        <v>23</v>
      </c>
    </row>
    <row r="1836" spans="1:11" ht="42" customHeight="1">
      <c r="A1836" s="2" t="s">
        <v>4565</v>
      </c>
      <c r="B1836" s="2" t="s">
        <v>4566</v>
      </c>
      <c r="C1836" s="2" t="s">
        <v>49</v>
      </c>
      <c r="D1836" s="2" t="s">
        <v>44</v>
      </c>
      <c r="E1836" s="5">
        <v>-30186</v>
      </c>
      <c r="F1836" s="3" t="s">
        <v>2003</v>
      </c>
      <c r="G1836" s="3" t="s">
        <v>77</v>
      </c>
      <c r="H1836" s="2" t="s">
        <v>21</v>
      </c>
      <c r="I1836" s="2" t="s">
        <v>4567</v>
      </c>
      <c r="J1836" s="3" t="str">
        <f>HYPERLINK("https://www.boe.es/gazeta/dias/1817/05/08/pdfs/GMD-1817-55.pdf#page=8","Abrir facsímil")</f>
        <v>Abrir facsímil</v>
      </c>
      <c r="K1836" s="3" t="s">
        <v>23</v>
      </c>
    </row>
    <row r="1837" spans="1:11" ht="42" customHeight="1">
      <c r="A1837" s="2" t="s">
        <v>4568</v>
      </c>
      <c r="B1837" s="2" t="s">
        <v>4568</v>
      </c>
      <c r="C1837" s="2" t="s">
        <v>36</v>
      </c>
      <c r="D1837" s="2" t="s">
        <v>37</v>
      </c>
      <c r="E1837" s="5">
        <v>-30102</v>
      </c>
      <c r="F1837" s="3" t="s">
        <v>502</v>
      </c>
      <c r="G1837" s="3" t="s">
        <v>629</v>
      </c>
      <c r="H1837" s="2" t="s">
        <v>21</v>
      </c>
      <c r="I1837" s="2" t="s">
        <v>4569</v>
      </c>
      <c r="J1837" s="3" t="str">
        <f>HYPERLINK("https://www.boe.es/gazeta/dias/1817/07/31/pdfs/GMD-1817-91.pdf#page=2","Abrir facsímil")</f>
        <v>Abrir facsímil</v>
      </c>
      <c r="K1837" s="3" t="s">
        <v>23</v>
      </c>
    </row>
    <row r="1838" spans="1:11" ht="42" customHeight="1">
      <c r="A1838" s="2" t="s">
        <v>4570</v>
      </c>
      <c r="B1838" s="2" t="s">
        <v>4571</v>
      </c>
      <c r="C1838" s="2" t="s">
        <v>36</v>
      </c>
      <c r="D1838" s="2" t="s">
        <v>37</v>
      </c>
      <c r="E1838" s="5">
        <v>-30289</v>
      </c>
      <c r="F1838" s="3" t="s">
        <v>193</v>
      </c>
      <c r="G1838" s="3" t="s">
        <v>194</v>
      </c>
      <c r="H1838" s="2" t="s">
        <v>21</v>
      </c>
      <c r="I1838" s="2" t="s">
        <v>4572</v>
      </c>
      <c r="J1838" s="3" t="str">
        <f>HYPERLINK("https://www.boe.es/gazeta/dias/1817/01/25/pdfs/GMD-1817-11.pdf#page=3","Abrir facsímil")</f>
        <v>Abrir facsímil</v>
      </c>
      <c r="K1838" s="3" t="s">
        <v>23</v>
      </c>
    </row>
    <row r="1839" spans="1:11" ht="42" customHeight="1">
      <c r="A1839" s="2" t="s">
        <v>4573</v>
      </c>
      <c r="B1839" s="2" t="s">
        <v>4574</v>
      </c>
      <c r="C1839" s="2" t="s">
        <v>36</v>
      </c>
      <c r="D1839" s="2" t="s">
        <v>37</v>
      </c>
      <c r="E1839" s="5">
        <v>-29962</v>
      </c>
      <c r="F1839" s="3" t="s">
        <v>485</v>
      </c>
      <c r="G1839" s="3" t="s">
        <v>144</v>
      </c>
      <c r="H1839" s="2" t="s">
        <v>21</v>
      </c>
      <c r="I1839" s="2" t="s">
        <v>4575</v>
      </c>
      <c r="J1839" s="3" t="str">
        <f>HYPERLINK("https://www.boe.es/gazeta/dias/1817/12/18/pdfs/GMD-1817-151.pdf#page=4","Abrir facsímil")</f>
        <v>Abrir facsímil</v>
      </c>
      <c r="K1839" s="3" t="s">
        <v>23</v>
      </c>
    </row>
    <row r="1840" spans="1:11" ht="42" customHeight="1">
      <c r="A1840" s="2" t="s">
        <v>4573</v>
      </c>
      <c r="B1840" s="2" t="s">
        <v>4574</v>
      </c>
      <c r="C1840" s="2" t="s">
        <v>36</v>
      </c>
      <c r="D1840" s="2" t="s">
        <v>37</v>
      </c>
      <c r="E1840" s="5">
        <v>-29962</v>
      </c>
      <c r="F1840" s="3" t="s">
        <v>485</v>
      </c>
      <c r="G1840" s="3" t="s">
        <v>39</v>
      </c>
      <c r="H1840" s="2" t="s">
        <v>21</v>
      </c>
      <c r="I1840" s="2" t="s">
        <v>4576</v>
      </c>
      <c r="J1840" s="3" t="str">
        <f>HYPERLINK("https://www.boe.es/gazeta/dias/1817/12/18/pdfs/GMD-1817-151.pdf#page=5","Abrir facsímil")</f>
        <v>Abrir facsímil</v>
      </c>
      <c r="K1840" s="3" t="s">
        <v>23</v>
      </c>
    </row>
    <row r="1841" spans="1:11" ht="42" customHeight="1">
      <c r="A1841" s="2" t="s">
        <v>4577</v>
      </c>
      <c r="B1841" s="2" t="s">
        <v>4578</v>
      </c>
      <c r="C1841" s="2" t="s">
        <v>36</v>
      </c>
      <c r="D1841" s="2" t="s">
        <v>37</v>
      </c>
      <c r="E1841" s="5">
        <v>-30310</v>
      </c>
      <c r="F1841" s="3" t="s">
        <v>93</v>
      </c>
      <c r="G1841" s="3" t="s">
        <v>629</v>
      </c>
      <c r="H1841" s="2" t="s">
        <v>21</v>
      </c>
      <c r="I1841" s="2" t="s">
        <v>4579</v>
      </c>
      <c r="J1841" s="3" t="str">
        <f>HYPERLINK("https://www.boe.es/gazeta/dias/1817/01/04/pdfs/GMD-1817-2.pdf#page=2","Abrir facsímil")</f>
        <v>Abrir facsímil</v>
      </c>
      <c r="K1841" s="3" t="s">
        <v>23</v>
      </c>
    </row>
    <row r="1842" spans="1:11" ht="42" customHeight="1">
      <c r="A1842" s="2" t="s">
        <v>4580</v>
      </c>
      <c r="B1842" s="2" t="s">
        <v>4581</v>
      </c>
      <c r="C1842" s="2" t="s">
        <v>36</v>
      </c>
      <c r="D1842" s="2" t="s">
        <v>37</v>
      </c>
      <c r="E1842" s="5">
        <v>-30167</v>
      </c>
      <c r="F1842" s="3" t="s">
        <v>153</v>
      </c>
      <c r="G1842" s="3" t="s">
        <v>20</v>
      </c>
      <c r="H1842" s="2" t="s">
        <v>21</v>
      </c>
      <c r="I1842" s="2" t="s">
        <v>4582</v>
      </c>
      <c r="J1842" s="3" t="str">
        <f>HYPERLINK("https://www.boe.es/gazeta/dias/1817/05/27/pdfs/GMD-1817-63.pdf#page=7","Abrir facsímil")</f>
        <v>Abrir facsímil</v>
      </c>
      <c r="K1842" s="3" t="s">
        <v>23</v>
      </c>
    </row>
    <row r="1843" spans="1:11" ht="42" customHeight="1">
      <c r="A1843" s="2" t="s">
        <v>4583</v>
      </c>
      <c r="B1843" s="2" t="s">
        <v>4584</v>
      </c>
      <c r="C1843" s="2" t="s">
        <v>36</v>
      </c>
      <c r="D1843" s="2" t="s">
        <v>37</v>
      </c>
      <c r="E1843" s="5">
        <v>-29995</v>
      </c>
      <c r="F1843" s="3" t="s">
        <v>514</v>
      </c>
      <c r="G1843" s="3" t="s">
        <v>515</v>
      </c>
      <c r="H1843" s="2" t="s">
        <v>27</v>
      </c>
      <c r="I1843" s="2" t="s">
        <v>4585</v>
      </c>
      <c r="J1843" s="3" t="str">
        <f>HYPERLINK("https://www.boe.es/gazeta/dias/1817/11/15/pdfs/GMD-1817-137.pdf#page=8","Abrir facsímil")</f>
        <v>Abrir facsímil</v>
      </c>
      <c r="K1843" s="3" t="s">
        <v>29</v>
      </c>
    </row>
    <row r="1844" spans="1:11" ht="42" customHeight="1">
      <c r="A1844" s="2" t="s">
        <v>4586</v>
      </c>
      <c r="B1844" s="2" t="s">
        <v>4587</v>
      </c>
      <c r="C1844" s="2" t="s">
        <v>43</v>
      </c>
      <c r="D1844" s="2" t="s">
        <v>44</v>
      </c>
      <c r="E1844" s="5">
        <v>-29953</v>
      </c>
      <c r="F1844" s="3" t="s">
        <v>793</v>
      </c>
      <c r="G1844" s="3" t="s">
        <v>144</v>
      </c>
      <c r="H1844" s="2" t="s">
        <v>27</v>
      </c>
      <c r="I1844" s="2" t="s">
        <v>4588</v>
      </c>
      <c r="J1844" s="3" t="str">
        <f>HYPERLINK("https://www.boe.es/gazeta/dias/1817/12/27/pdfs/GMD-1817-155.pdf#page=4","Abrir facsímil")</f>
        <v>Abrir facsímil</v>
      </c>
      <c r="K1844" s="3" t="s">
        <v>29</v>
      </c>
    </row>
    <row r="1845" spans="1:11" ht="42" customHeight="1">
      <c r="A1845" s="2" t="s">
        <v>4589</v>
      </c>
      <c r="B1845" s="2" t="s">
        <v>4590</v>
      </c>
      <c r="C1845" s="2" t="s">
        <v>97</v>
      </c>
      <c r="D1845" s="2" t="s">
        <v>44</v>
      </c>
      <c r="E1845" s="5">
        <v>-30034</v>
      </c>
      <c r="F1845" s="3" t="s">
        <v>270</v>
      </c>
      <c r="G1845" s="3" t="s">
        <v>271</v>
      </c>
      <c r="H1845" s="2" t="s">
        <v>21</v>
      </c>
      <c r="I1845" s="2" t="s">
        <v>4591</v>
      </c>
      <c r="J1845" s="3" t="str">
        <f>HYPERLINK("https://www.boe.es/gazeta/dias/1817/10/07/pdfs/GMD-1817-120.pdf#page=8","Abrir facsímil")</f>
        <v>Abrir facsímil</v>
      </c>
      <c r="K1845" s="3" t="s">
        <v>23</v>
      </c>
    </row>
    <row r="1846" spans="1:11" ht="42" customHeight="1">
      <c r="A1846" s="2" t="s">
        <v>4592</v>
      </c>
      <c r="B1846" s="2" t="s">
        <v>4593</v>
      </c>
      <c r="C1846" s="2" t="s">
        <v>43</v>
      </c>
      <c r="D1846" s="2" t="s">
        <v>44</v>
      </c>
      <c r="E1846" s="5">
        <v>-30242</v>
      </c>
      <c r="F1846" s="3" t="s">
        <v>62</v>
      </c>
      <c r="G1846" s="3" t="s">
        <v>603</v>
      </c>
      <c r="H1846" s="2" t="s">
        <v>21</v>
      </c>
      <c r="I1846" s="2" t="s">
        <v>4594</v>
      </c>
      <c r="J1846" s="3" t="str">
        <f>HYPERLINK("https://www.boe.es/gazeta/dias/1817/03/13/pdfs/GMD-1817-31.pdf#page=4","Abrir facsímil")</f>
        <v>Abrir facsímil</v>
      </c>
      <c r="K1846" s="3" t="s">
        <v>23</v>
      </c>
    </row>
    <row r="1847" spans="1:11" ht="42" customHeight="1">
      <c r="A1847" s="2" t="s">
        <v>4595</v>
      </c>
      <c r="B1847" s="2" t="s">
        <v>4596</v>
      </c>
      <c r="C1847" s="2" t="s">
        <v>43</v>
      </c>
      <c r="D1847" s="2" t="s">
        <v>44</v>
      </c>
      <c r="E1847" s="5">
        <v>-29962</v>
      </c>
      <c r="F1847" s="3" t="s">
        <v>485</v>
      </c>
      <c r="G1847" s="3" t="s">
        <v>39</v>
      </c>
      <c r="H1847" s="2" t="s">
        <v>21</v>
      </c>
      <c r="I1847" s="2" t="s">
        <v>4597</v>
      </c>
      <c r="J1847" s="3" t="str">
        <f>HYPERLINK("https://www.boe.es/gazeta/dias/1817/12/18/pdfs/GMD-1817-151.pdf#page=5","Abrir facsímil")</f>
        <v>Abrir facsímil</v>
      </c>
      <c r="K1847" s="3" t="s">
        <v>23</v>
      </c>
    </row>
    <row r="1848" spans="1:11" ht="42" customHeight="1">
      <c r="A1848" s="2" t="s">
        <v>4598</v>
      </c>
      <c r="B1848" s="2" t="s">
        <v>4599</v>
      </c>
      <c r="C1848" s="2" t="s">
        <v>36</v>
      </c>
      <c r="D1848" s="2" t="s">
        <v>37</v>
      </c>
      <c r="E1848" s="5">
        <v>-29983</v>
      </c>
      <c r="F1848" s="3" t="s">
        <v>148</v>
      </c>
      <c r="G1848" s="3" t="s">
        <v>551</v>
      </c>
      <c r="H1848" s="2" t="s">
        <v>21</v>
      </c>
      <c r="I1848" s="2" t="s">
        <v>4600</v>
      </c>
      <c r="J1848" s="3" t="str">
        <f>HYPERLINK("https://www.boe.es/gazeta/dias/1817/11/27/pdfs/GMD-1817-142.pdf#page=3","Abrir facsímil")</f>
        <v>Abrir facsímil</v>
      </c>
      <c r="K1848" s="3" t="s">
        <v>23</v>
      </c>
    </row>
    <row r="1849" spans="1:11" ht="42" customHeight="1">
      <c r="A1849" s="2" t="s">
        <v>4601</v>
      </c>
      <c r="B1849" s="2" t="s">
        <v>4602</v>
      </c>
      <c r="C1849" s="2" t="s">
        <v>36</v>
      </c>
      <c r="D1849" s="2" t="s">
        <v>37</v>
      </c>
      <c r="E1849" s="5">
        <v>-30205</v>
      </c>
      <c r="F1849" s="3" t="s">
        <v>139</v>
      </c>
      <c r="G1849" s="3" t="s">
        <v>20</v>
      </c>
      <c r="H1849" s="2" t="s">
        <v>21</v>
      </c>
      <c r="I1849" s="2" t="s">
        <v>4603</v>
      </c>
      <c r="J1849" s="3" t="str">
        <f>HYPERLINK("https://www.boe.es/gazeta/dias/1817/04/19/pdfs/GMD-1817-47.pdf#page=7","Abrir facsímil")</f>
        <v>Abrir facsímil</v>
      </c>
      <c r="K1849" s="3" t="s">
        <v>23</v>
      </c>
    </row>
    <row r="1850" spans="1:11" ht="42" customHeight="1">
      <c r="A1850" s="2" t="s">
        <v>4604</v>
      </c>
      <c r="B1850" s="2" t="s">
        <v>4605</v>
      </c>
      <c r="C1850" s="2" t="s">
        <v>510</v>
      </c>
      <c r="D1850" s="2" t="s">
        <v>44</v>
      </c>
      <c r="E1850" s="5">
        <v>-29962</v>
      </c>
      <c r="F1850" s="3" t="s">
        <v>485</v>
      </c>
      <c r="G1850" s="3" t="s">
        <v>77</v>
      </c>
      <c r="H1850" s="2" t="s">
        <v>21</v>
      </c>
      <c r="I1850" s="2" t="s">
        <v>4606</v>
      </c>
      <c r="J1850" s="3" t="str">
        <f>HYPERLINK("https://www.boe.es/gazeta/dias/1817/12/18/pdfs/GMD-1817-151.pdf#page=8","Abrir facsímil")</f>
        <v>Abrir facsímil</v>
      </c>
      <c r="K1850" s="3" t="s">
        <v>23</v>
      </c>
    </row>
    <row r="1851" spans="1:11" ht="42" customHeight="1">
      <c r="A1851" s="2" t="s">
        <v>4607</v>
      </c>
      <c r="B1851" s="2" t="s">
        <v>4608</v>
      </c>
      <c r="C1851" s="2" t="s">
        <v>97</v>
      </c>
      <c r="D1851" s="2" t="s">
        <v>44</v>
      </c>
      <c r="E1851" s="5">
        <v>-29962</v>
      </c>
      <c r="F1851" s="3" t="s">
        <v>485</v>
      </c>
      <c r="G1851" s="3" t="s">
        <v>20</v>
      </c>
      <c r="H1851" s="2" t="s">
        <v>21</v>
      </c>
      <c r="I1851" s="2" t="s">
        <v>4609</v>
      </c>
      <c r="J1851" s="3" t="str">
        <f>HYPERLINK("https://www.boe.es/gazeta/dias/1817/12/18/pdfs/GMD-1817-151.pdf#page=7","Abrir facsímil")</f>
        <v>Abrir facsímil</v>
      </c>
      <c r="K1851" s="3" t="s">
        <v>23</v>
      </c>
    </row>
    <row r="1852" spans="1:11" ht="42" customHeight="1">
      <c r="A1852" s="2" t="s">
        <v>4610</v>
      </c>
      <c r="B1852" s="2" t="s">
        <v>4610</v>
      </c>
      <c r="C1852" s="2" t="s">
        <v>55</v>
      </c>
      <c r="D1852" s="2" t="s">
        <v>44</v>
      </c>
      <c r="E1852" s="5">
        <v>-30027</v>
      </c>
      <c r="F1852" s="3" t="s">
        <v>173</v>
      </c>
      <c r="G1852" s="3" t="s">
        <v>77</v>
      </c>
      <c r="H1852" s="2" t="s">
        <v>21</v>
      </c>
      <c r="I1852" s="2" t="s">
        <v>4611</v>
      </c>
      <c r="J1852" s="3" t="str">
        <f>HYPERLINK("https://www.boe.es/gazeta/dias/1817/10/14/pdfs/GMD-1817-123.pdf#page=8","Abrir facsímil")</f>
        <v>Abrir facsímil</v>
      </c>
      <c r="K1852" s="3" t="s">
        <v>23</v>
      </c>
    </row>
    <row r="1853" spans="1:11" ht="42" customHeight="1">
      <c r="A1853" s="2" t="s">
        <v>4610</v>
      </c>
      <c r="B1853" s="2" t="s">
        <v>4610</v>
      </c>
      <c r="C1853" s="2" t="s">
        <v>17</v>
      </c>
      <c r="D1853" s="2" t="s">
        <v>18</v>
      </c>
      <c r="E1853" s="5">
        <v>-29997</v>
      </c>
      <c r="F1853" s="3" t="s">
        <v>652</v>
      </c>
      <c r="G1853" s="3" t="s">
        <v>1095</v>
      </c>
      <c r="H1853" s="2" t="s">
        <v>21</v>
      </c>
      <c r="I1853" s="2" t="s">
        <v>4612</v>
      </c>
      <c r="J1853" s="3" t="str">
        <f>HYPERLINK("https://www.boe.es/gazeta/dias/1817/11/13/pdfs/GMD-1817-136.pdf#page=10","Abrir facsímil")</f>
        <v>Abrir facsímil</v>
      </c>
      <c r="K1853" s="3" t="s">
        <v>23</v>
      </c>
    </row>
    <row r="1854" spans="1:11" ht="42" customHeight="1">
      <c r="A1854" s="2" t="s">
        <v>4613</v>
      </c>
      <c r="B1854" s="2" t="s">
        <v>4614</v>
      </c>
      <c r="C1854" s="2" t="s">
        <v>55</v>
      </c>
      <c r="D1854" s="2" t="s">
        <v>44</v>
      </c>
      <c r="E1854" s="5">
        <v>-30254</v>
      </c>
      <c r="F1854" s="3" t="s">
        <v>124</v>
      </c>
      <c r="G1854" s="3" t="s">
        <v>125</v>
      </c>
      <c r="H1854" s="2" t="s">
        <v>21</v>
      </c>
      <c r="I1854" s="2" t="s">
        <v>4615</v>
      </c>
      <c r="J1854" s="3" t="str">
        <f>HYPERLINK("https://www.boe.es/gazeta/dias/1817/03/01/pdfs/GMD-1817-26.pdf#page=5","Abrir facsímil")</f>
        <v>Abrir facsímil</v>
      </c>
      <c r="K1854" s="3" t="s">
        <v>23</v>
      </c>
    </row>
    <row r="1855" spans="1:11" ht="42" customHeight="1">
      <c r="A1855" s="2" t="s">
        <v>4616</v>
      </c>
      <c r="B1855" s="2" t="s">
        <v>4617</v>
      </c>
      <c r="C1855" s="2" t="s">
        <v>36</v>
      </c>
      <c r="D1855" s="2" t="s">
        <v>37</v>
      </c>
      <c r="E1855" s="5">
        <v>-30223</v>
      </c>
      <c r="F1855" s="3" t="s">
        <v>627</v>
      </c>
      <c r="G1855" s="3" t="s">
        <v>1721</v>
      </c>
      <c r="H1855" s="2" t="s">
        <v>21</v>
      </c>
      <c r="I1855" s="2" t="s">
        <v>4618</v>
      </c>
      <c r="J1855" s="3" t="str">
        <f>HYPERLINK("https://www.boe.es/gazeta/dias/1817/04/01/pdfs/GMD-1817-39.pdf#page=7","Abrir facsímil")</f>
        <v>Abrir facsímil</v>
      </c>
      <c r="K1855" s="3" t="s">
        <v>23</v>
      </c>
    </row>
    <row r="1856" spans="1:11" ht="42" customHeight="1">
      <c r="A1856" s="2" t="s">
        <v>4619</v>
      </c>
      <c r="B1856" s="2" t="s">
        <v>4620</v>
      </c>
      <c r="C1856" s="2" t="s">
        <v>36</v>
      </c>
      <c r="D1856" s="2" t="s">
        <v>37</v>
      </c>
      <c r="E1856" s="5">
        <v>-30172</v>
      </c>
      <c r="F1856" s="3" t="s">
        <v>991</v>
      </c>
      <c r="G1856" s="3" t="s">
        <v>39</v>
      </c>
      <c r="H1856" s="2" t="s">
        <v>21</v>
      </c>
      <c r="I1856" s="2" t="s">
        <v>4621</v>
      </c>
      <c r="J1856" s="3" t="str">
        <f>HYPERLINK("https://www.boe.es/gazeta/dias/1817/05/22/pdfs/GMD-1817-61.pdf#page=5","Abrir facsímil")</f>
        <v>Abrir facsímil</v>
      </c>
      <c r="K1856" s="3" t="s">
        <v>23</v>
      </c>
    </row>
    <row r="1857" spans="1:11" ht="42" customHeight="1">
      <c r="A1857" s="2" t="s">
        <v>4622</v>
      </c>
      <c r="B1857" s="2" t="s">
        <v>4622</v>
      </c>
      <c r="C1857" s="2" t="s">
        <v>36</v>
      </c>
      <c r="D1857" s="2" t="s">
        <v>37</v>
      </c>
      <c r="E1857" s="5">
        <v>-30132</v>
      </c>
      <c r="F1857" s="3" t="s">
        <v>718</v>
      </c>
      <c r="G1857" s="3" t="s">
        <v>39</v>
      </c>
      <c r="H1857" s="2" t="s">
        <v>21</v>
      </c>
      <c r="I1857" s="2" t="s">
        <v>4623</v>
      </c>
      <c r="J1857" s="3" t="str">
        <f>HYPERLINK("https://www.boe.es/gazeta/dias/1817/07/01/pdfs/GMD-1817-78.pdf#page=5","Abrir facsímil")</f>
        <v>Abrir facsímil</v>
      </c>
      <c r="K1857" s="3" t="s">
        <v>23</v>
      </c>
    </row>
    <row r="1858" spans="1:11" ht="42" customHeight="1">
      <c r="A1858" s="2" t="s">
        <v>4622</v>
      </c>
      <c r="B1858" s="2" t="s">
        <v>4622</v>
      </c>
      <c r="C1858" s="2" t="s">
        <v>36</v>
      </c>
      <c r="D1858" s="2" t="s">
        <v>37</v>
      </c>
      <c r="E1858" s="5">
        <v>-29983</v>
      </c>
      <c r="F1858" s="3" t="s">
        <v>148</v>
      </c>
      <c r="G1858" s="3" t="s">
        <v>654</v>
      </c>
      <c r="H1858" s="2" t="s">
        <v>21</v>
      </c>
      <c r="I1858" s="2" t="s">
        <v>4624</v>
      </c>
      <c r="J1858" s="3" t="str">
        <f>HYPERLINK("https://www.boe.es/gazeta/dias/1817/11/27/pdfs/GMD-1817-142.pdf#page=4","Abrir facsímil")</f>
        <v>Abrir facsímil</v>
      </c>
      <c r="K1858" s="3" t="s">
        <v>23</v>
      </c>
    </row>
    <row r="1859" spans="1:11" ht="42" customHeight="1">
      <c r="A1859" s="2" t="s">
        <v>4625</v>
      </c>
      <c r="B1859" s="2" t="s">
        <v>4625</v>
      </c>
      <c r="C1859" s="2" t="s">
        <v>36</v>
      </c>
      <c r="D1859" s="2" t="s">
        <v>37</v>
      </c>
      <c r="E1859" s="5">
        <v>-30114</v>
      </c>
      <c r="F1859" s="3" t="s">
        <v>500</v>
      </c>
      <c r="G1859" s="3" t="s">
        <v>144</v>
      </c>
      <c r="H1859" s="2" t="s">
        <v>21</v>
      </c>
      <c r="I1859" s="2" t="s">
        <v>4626</v>
      </c>
      <c r="J1859" s="3" t="str">
        <f>HYPERLINK("https://www.boe.es/gazeta/dias/1817/07/19/pdfs/GMD-1817-86.pdf#page=4","Abrir facsímil")</f>
        <v>Abrir facsímil</v>
      </c>
      <c r="K1859" s="3" t="s">
        <v>23</v>
      </c>
    </row>
    <row r="1860" spans="1:11" ht="42" customHeight="1">
      <c r="A1860" s="2" t="s">
        <v>4627</v>
      </c>
      <c r="B1860" s="2" t="s">
        <v>4627</v>
      </c>
      <c r="C1860" s="2" t="s">
        <v>36</v>
      </c>
      <c r="D1860" s="2" t="s">
        <v>37</v>
      </c>
      <c r="E1860" s="5">
        <v>-29976</v>
      </c>
      <c r="F1860" s="3" t="s">
        <v>81</v>
      </c>
      <c r="G1860" s="3" t="s">
        <v>883</v>
      </c>
      <c r="H1860" s="2" t="s">
        <v>21</v>
      </c>
      <c r="I1860" s="2" t="s">
        <v>4628</v>
      </c>
      <c r="J1860" s="3" t="str">
        <f>HYPERLINK("https://www.boe.es/gazeta/dias/1817/12/04/pdfs/GMD-1817-145.pdf#page=4","Abrir facsímil")</f>
        <v>Abrir facsímil</v>
      </c>
      <c r="K1860" s="3" t="s">
        <v>23</v>
      </c>
    </row>
    <row r="1861" spans="1:11" ht="42" customHeight="1">
      <c r="A1861" s="2" t="s">
        <v>4629</v>
      </c>
      <c r="B1861" s="2" t="s">
        <v>4630</v>
      </c>
      <c r="C1861" s="2" t="s">
        <v>97</v>
      </c>
      <c r="D1861" s="2" t="s">
        <v>44</v>
      </c>
      <c r="E1861" s="5">
        <v>-30025</v>
      </c>
      <c r="F1861" s="3" t="s">
        <v>458</v>
      </c>
      <c r="G1861" s="3" t="s">
        <v>77</v>
      </c>
      <c r="H1861" s="2" t="s">
        <v>21</v>
      </c>
      <c r="I1861" s="2" t="s">
        <v>4631</v>
      </c>
      <c r="J1861" s="3" t="str">
        <f>HYPERLINK("https://www.boe.es/gazeta/dias/1817/10/16/pdfs/GMD-1817-124.pdf#page=8","Abrir facsímil")</f>
        <v>Abrir facsímil</v>
      </c>
      <c r="K1861" s="3" t="s">
        <v>23</v>
      </c>
    </row>
    <row r="1862" spans="1:11" ht="42" customHeight="1">
      <c r="A1862" s="2" t="s">
        <v>4632</v>
      </c>
      <c r="B1862" s="2" t="s">
        <v>4633</v>
      </c>
      <c r="C1862" s="2" t="s">
        <v>36</v>
      </c>
      <c r="D1862" s="2" t="s">
        <v>37</v>
      </c>
      <c r="E1862" s="5">
        <v>-30065</v>
      </c>
      <c r="F1862" s="3" t="s">
        <v>201</v>
      </c>
      <c r="G1862" s="3" t="s">
        <v>57</v>
      </c>
      <c r="H1862" s="2" t="s">
        <v>21</v>
      </c>
      <c r="I1862" s="2" t="s">
        <v>4634</v>
      </c>
      <c r="J1862" s="3" t="str">
        <f>HYPERLINK("https://www.boe.es/gazeta/dias/1817/09/06/pdfs/GMD-1817-107.pdf#page=6","Abrir facsímil")</f>
        <v>Abrir facsímil</v>
      </c>
      <c r="K1862" s="3" t="s">
        <v>23</v>
      </c>
    </row>
    <row r="1863" spans="1:11" ht="42" customHeight="1">
      <c r="A1863" s="2" t="s">
        <v>4635</v>
      </c>
      <c r="B1863" s="2" t="s">
        <v>4635</v>
      </c>
      <c r="C1863" s="2" t="s">
        <v>36</v>
      </c>
      <c r="D1863" s="2" t="s">
        <v>37</v>
      </c>
      <c r="E1863" s="5">
        <v>-29978</v>
      </c>
      <c r="F1863" s="3" t="s">
        <v>478</v>
      </c>
      <c r="G1863" s="3" t="s">
        <v>39</v>
      </c>
      <c r="H1863" s="2" t="s">
        <v>21</v>
      </c>
      <c r="I1863" s="2" t="s">
        <v>4636</v>
      </c>
      <c r="J1863" s="3" t="str">
        <f>HYPERLINK("https://www.boe.es/gazeta/dias/1817/12/02/pdfs/GMD-1817-144.pdf#page=5","Abrir facsímil")</f>
        <v>Abrir facsímil</v>
      </c>
      <c r="K1863" s="3" t="s">
        <v>23</v>
      </c>
    </row>
    <row r="1864" spans="1:11" ht="42" customHeight="1">
      <c r="A1864" s="2" t="s">
        <v>4637</v>
      </c>
      <c r="B1864" s="2" t="s">
        <v>4637</v>
      </c>
      <c r="C1864" s="2" t="s">
        <v>36</v>
      </c>
      <c r="D1864" s="2" t="s">
        <v>37</v>
      </c>
      <c r="E1864" s="5">
        <v>-29992</v>
      </c>
      <c r="F1864" s="3" t="s">
        <v>50</v>
      </c>
      <c r="G1864" s="3" t="s">
        <v>551</v>
      </c>
      <c r="H1864" s="2" t="s">
        <v>21</v>
      </c>
      <c r="I1864" s="2" t="s">
        <v>4638</v>
      </c>
      <c r="J1864" s="3" t="str">
        <f>HYPERLINK("https://www.boe.es/gazeta/dias/1817/11/18/pdfs/GMD-1817-138.pdf#page=3","Abrir facsímil")</f>
        <v>Abrir facsímil</v>
      </c>
      <c r="K1864" s="3" t="s">
        <v>23</v>
      </c>
    </row>
    <row r="1865" spans="1:11" ht="42" customHeight="1">
      <c r="A1865" s="2" t="s">
        <v>4639</v>
      </c>
      <c r="B1865" s="2" t="s">
        <v>4640</v>
      </c>
      <c r="C1865" s="2" t="s">
        <v>36</v>
      </c>
      <c r="D1865" s="2" t="s">
        <v>37</v>
      </c>
      <c r="E1865" s="5">
        <v>-30177</v>
      </c>
      <c r="F1865" s="3" t="s">
        <v>633</v>
      </c>
      <c r="G1865" s="3" t="s">
        <v>39</v>
      </c>
      <c r="H1865" s="2" t="s">
        <v>21</v>
      </c>
      <c r="I1865" s="2" t="s">
        <v>4641</v>
      </c>
      <c r="J1865" s="3" t="str">
        <f>HYPERLINK("https://www.boe.es/gazeta/dias/1817/05/17/pdfs/GMD-1817-59.pdf#page=5","Abrir facsímil")</f>
        <v>Abrir facsímil</v>
      </c>
      <c r="K1865" s="3" t="s">
        <v>23</v>
      </c>
    </row>
    <row r="1866" spans="1:11" ht="42" customHeight="1">
      <c r="A1866" s="2" t="s">
        <v>4642</v>
      </c>
      <c r="B1866" s="2" t="s">
        <v>4643</v>
      </c>
      <c r="C1866" s="2" t="s">
        <v>36</v>
      </c>
      <c r="D1866" s="2" t="s">
        <v>37</v>
      </c>
      <c r="E1866" s="5">
        <v>-30307</v>
      </c>
      <c r="F1866" s="3" t="s">
        <v>67</v>
      </c>
      <c r="G1866" s="3" t="s">
        <v>739</v>
      </c>
      <c r="H1866" s="2" t="s">
        <v>21</v>
      </c>
      <c r="I1866" s="2" t="s">
        <v>4644</v>
      </c>
      <c r="J1866" s="3" t="str">
        <f>HYPERLINK("https://www.boe.es/gazeta/dias/1817/01/07/pdfs/GMD-1817-3.pdf#page=6","Abrir facsímil")</f>
        <v>Abrir facsímil</v>
      </c>
      <c r="K1866" s="3" t="s">
        <v>23</v>
      </c>
    </row>
    <row r="1867" spans="1:11" ht="42" customHeight="1">
      <c r="A1867" s="2" t="s">
        <v>4645</v>
      </c>
      <c r="B1867" s="2" t="s">
        <v>4646</v>
      </c>
      <c r="C1867" s="2" t="s">
        <v>55</v>
      </c>
      <c r="D1867" s="2" t="s">
        <v>44</v>
      </c>
      <c r="E1867" s="5">
        <v>-30265</v>
      </c>
      <c r="F1867" s="3" t="s">
        <v>107</v>
      </c>
      <c r="G1867" s="3" t="s">
        <v>72</v>
      </c>
      <c r="H1867" s="2" t="s">
        <v>27</v>
      </c>
      <c r="I1867" s="2" t="s">
        <v>4647</v>
      </c>
      <c r="J1867" s="3" t="str">
        <f>HYPERLINK("https://www.boe.es/gazeta/dias/1817/02/18/pdfs/GMD-1817-21.pdf#page=1","Abrir facsímil")</f>
        <v>Abrir facsímil</v>
      </c>
      <c r="K1867" s="3" t="s">
        <v>29</v>
      </c>
    </row>
    <row r="1868" spans="1:11" ht="42" customHeight="1">
      <c r="A1868" s="2" t="s">
        <v>4648</v>
      </c>
      <c r="B1868" s="2" t="s">
        <v>4648</v>
      </c>
      <c r="C1868" s="2" t="s">
        <v>43</v>
      </c>
      <c r="D1868" s="2" t="s">
        <v>44</v>
      </c>
      <c r="E1868" s="5">
        <v>-30289</v>
      </c>
      <c r="F1868" s="3" t="s">
        <v>193</v>
      </c>
      <c r="G1868" s="3" t="s">
        <v>20</v>
      </c>
      <c r="H1868" s="2" t="s">
        <v>21</v>
      </c>
      <c r="I1868" s="2" t="s">
        <v>4649</v>
      </c>
      <c r="J1868" s="3" t="str">
        <f>HYPERLINK("https://www.boe.es/gazeta/dias/1817/01/25/pdfs/GMD-1817-11.pdf#page=7","Abrir facsímil")</f>
        <v>Abrir facsímil</v>
      </c>
      <c r="K1868" s="3" t="s">
        <v>23</v>
      </c>
    </row>
    <row r="1869" spans="1:11" ht="42" customHeight="1">
      <c r="A1869" s="2" t="s">
        <v>4650</v>
      </c>
      <c r="B1869" s="2" t="s">
        <v>4651</v>
      </c>
      <c r="C1869" s="2" t="s">
        <v>49</v>
      </c>
      <c r="D1869" s="2" t="s">
        <v>44</v>
      </c>
      <c r="E1869" s="5">
        <v>-29990</v>
      </c>
      <c r="F1869" s="3" t="s">
        <v>542</v>
      </c>
      <c r="G1869" s="3" t="s">
        <v>77</v>
      </c>
      <c r="H1869" s="2" t="s">
        <v>21</v>
      </c>
      <c r="I1869" s="2" t="s">
        <v>4652</v>
      </c>
      <c r="J1869" s="3" t="str">
        <f>HYPERLINK("https://www.boe.es/gazeta/dias/1817/11/20/pdfs/GMD-1817-139.pdf#page=8","Abrir facsímil")</f>
        <v>Abrir facsímil</v>
      </c>
      <c r="K1869" s="3" t="s">
        <v>23</v>
      </c>
    </row>
    <row r="1870" spans="1:11" ht="42" customHeight="1">
      <c r="A1870" s="2" t="s">
        <v>4653</v>
      </c>
      <c r="B1870" s="2" t="s">
        <v>4654</v>
      </c>
      <c r="C1870" s="2" t="s">
        <v>97</v>
      </c>
      <c r="D1870" s="2" t="s">
        <v>44</v>
      </c>
      <c r="E1870" s="5">
        <v>-30093</v>
      </c>
      <c r="F1870" s="3" t="s">
        <v>230</v>
      </c>
      <c r="G1870" s="3" t="s">
        <v>20</v>
      </c>
      <c r="H1870" s="2" t="s">
        <v>21</v>
      </c>
      <c r="I1870" s="2" t="s">
        <v>4655</v>
      </c>
      <c r="J1870" s="3" t="str">
        <f>HYPERLINK("https://www.boe.es/gazeta/dias/1817/08/09/pdfs/GMD-1817-95.pdf#page=7","Abrir facsímil")</f>
        <v>Abrir facsímil</v>
      </c>
      <c r="K1870" s="3" t="s">
        <v>23</v>
      </c>
    </row>
    <row r="1871" spans="1:11" ht="42" customHeight="1">
      <c r="A1871" s="2" t="s">
        <v>4656</v>
      </c>
      <c r="B1871" s="2" t="s">
        <v>4656</v>
      </c>
      <c r="C1871" s="2" t="s">
        <v>36</v>
      </c>
      <c r="D1871" s="2" t="s">
        <v>37</v>
      </c>
      <c r="E1871" s="5">
        <v>-30118</v>
      </c>
      <c r="F1871" s="3" t="s">
        <v>432</v>
      </c>
      <c r="G1871" s="3" t="s">
        <v>39</v>
      </c>
      <c r="H1871" s="2" t="s">
        <v>21</v>
      </c>
      <c r="I1871" s="2" t="s">
        <v>4657</v>
      </c>
      <c r="J1871" s="3" t="str">
        <f>HYPERLINK("https://www.boe.es/gazeta/dias/1817/07/15/pdfs/GMD-1817-84.pdf#page=5","Abrir facsímil")</f>
        <v>Abrir facsímil</v>
      </c>
      <c r="K1871" s="3" t="s">
        <v>23</v>
      </c>
    </row>
    <row r="1872" spans="1:11" ht="42" customHeight="1">
      <c r="A1872" s="2" t="s">
        <v>4658</v>
      </c>
      <c r="B1872" s="2" t="s">
        <v>4659</v>
      </c>
      <c r="C1872" s="2" t="s">
        <v>36</v>
      </c>
      <c r="D1872" s="2" t="s">
        <v>37</v>
      </c>
      <c r="E1872" s="5">
        <v>-30261</v>
      </c>
      <c r="F1872" s="3" t="s">
        <v>226</v>
      </c>
      <c r="G1872" s="3" t="s">
        <v>20</v>
      </c>
      <c r="H1872" s="2" t="s">
        <v>21</v>
      </c>
      <c r="I1872" s="2" t="s">
        <v>4660</v>
      </c>
      <c r="J1872" s="3" t="str">
        <f>HYPERLINK("https://www.boe.es/gazeta/dias/1817/02/22/pdfs/GMD-1817-23.pdf#page=7","Abrir facsímil")</f>
        <v>Abrir facsímil</v>
      </c>
      <c r="K1872" s="3" t="s">
        <v>23</v>
      </c>
    </row>
    <row r="1873" spans="1:11" ht="42" customHeight="1">
      <c r="A1873" s="2" t="s">
        <v>4661</v>
      </c>
      <c r="B1873" s="2" t="s">
        <v>4662</v>
      </c>
      <c r="C1873" s="2" t="s">
        <v>17</v>
      </c>
      <c r="D1873" s="2" t="s">
        <v>18</v>
      </c>
      <c r="E1873" s="5">
        <v>-30249</v>
      </c>
      <c r="F1873" s="3" t="s">
        <v>120</v>
      </c>
      <c r="G1873" s="3" t="s">
        <v>57</v>
      </c>
      <c r="H1873" s="2" t="s">
        <v>21</v>
      </c>
      <c r="I1873" s="2" t="s">
        <v>4663</v>
      </c>
      <c r="J1873" s="3" t="str">
        <f>HYPERLINK("https://www.boe.es/gazeta/dias/1817/03/06/pdfs/GMD-1817-28.pdf#page=6","Abrir facsímil")</f>
        <v>Abrir facsímil</v>
      </c>
      <c r="K1873" s="3" t="s">
        <v>23</v>
      </c>
    </row>
    <row r="1874" spans="1:11" ht="42" customHeight="1">
      <c r="A1874" s="2" t="s">
        <v>4664</v>
      </c>
      <c r="B1874" s="2" t="s">
        <v>4664</v>
      </c>
      <c r="C1874" s="2" t="s">
        <v>43</v>
      </c>
      <c r="D1874" s="2" t="s">
        <v>44</v>
      </c>
      <c r="E1874" s="5">
        <v>-30310</v>
      </c>
      <c r="F1874" s="3" t="s">
        <v>93</v>
      </c>
      <c r="G1874" s="3" t="s">
        <v>77</v>
      </c>
      <c r="H1874" s="2" t="s">
        <v>21</v>
      </c>
      <c r="I1874" s="2" t="s">
        <v>4665</v>
      </c>
      <c r="J1874" s="3" t="str">
        <f>HYPERLINK("https://www.boe.es/gazeta/dias/1817/01/04/pdfs/GMD-1817-2.pdf#page=8","Abrir facsímil")</f>
        <v>Abrir facsímil</v>
      </c>
      <c r="K1874" s="3" t="s">
        <v>23</v>
      </c>
    </row>
    <row r="1875" spans="1:11" ht="42" customHeight="1">
      <c r="A1875" s="2" t="s">
        <v>4664</v>
      </c>
      <c r="B1875" s="2" t="s">
        <v>4664</v>
      </c>
      <c r="C1875" s="2" t="s">
        <v>36</v>
      </c>
      <c r="D1875" s="2" t="s">
        <v>37</v>
      </c>
      <c r="E1875" s="5">
        <v>-30307</v>
      </c>
      <c r="F1875" s="3" t="s">
        <v>67</v>
      </c>
      <c r="G1875" s="3" t="s">
        <v>1785</v>
      </c>
      <c r="H1875" s="2" t="s">
        <v>21</v>
      </c>
      <c r="I1875" s="2" t="s">
        <v>4666</v>
      </c>
      <c r="J1875" s="3" t="str">
        <f>HYPERLINK("https://www.boe.es/gazeta/dias/1817/01/07/pdfs/GMD-1817-3.pdf#page=4","Abrir facsímil")</f>
        <v>Abrir facsímil</v>
      </c>
      <c r="K1875" s="3" t="s">
        <v>23</v>
      </c>
    </row>
    <row r="1876" spans="1:11" ht="42" customHeight="1">
      <c r="A1876" s="2" t="s">
        <v>4664</v>
      </c>
      <c r="B1876" s="2" t="s">
        <v>4664</v>
      </c>
      <c r="C1876" s="2" t="s">
        <v>17</v>
      </c>
      <c r="D1876" s="2" t="s">
        <v>18</v>
      </c>
      <c r="E1876" s="5">
        <v>-30307</v>
      </c>
      <c r="F1876" s="3" t="s">
        <v>67</v>
      </c>
      <c r="G1876" s="3" t="s">
        <v>739</v>
      </c>
      <c r="H1876" s="2" t="s">
        <v>21</v>
      </c>
      <c r="I1876" s="2" t="s">
        <v>4667</v>
      </c>
      <c r="J1876" s="3" t="str">
        <f>HYPERLINK("https://www.boe.es/gazeta/dias/1817/01/07/pdfs/GMD-1817-3.pdf#page=6","Abrir facsímil")</f>
        <v>Abrir facsímil</v>
      </c>
      <c r="K1876" s="3" t="s">
        <v>23</v>
      </c>
    </row>
    <row r="1877" spans="1:11" ht="42" customHeight="1">
      <c r="A1877" s="2" t="s">
        <v>4664</v>
      </c>
      <c r="B1877" s="2" t="s">
        <v>4664</v>
      </c>
      <c r="C1877" s="2" t="s">
        <v>510</v>
      </c>
      <c r="D1877" s="2" t="s">
        <v>44</v>
      </c>
      <c r="E1877" s="5">
        <v>-30307</v>
      </c>
      <c r="F1877" s="3" t="s">
        <v>67</v>
      </c>
      <c r="G1877" s="3" t="s">
        <v>1179</v>
      </c>
      <c r="H1877" s="2" t="s">
        <v>21</v>
      </c>
      <c r="I1877" s="2" t="s">
        <v>4668</v>
      </c>
      <c r="J1877" s="3" t="str">
        <f>HYPERLINK("https://www.boe.es/gazeta/dias/1817/01/07/pdfs/GMD-1817-3.pdf#page=7","Abrir facsímil")</f>
        <v>Abrir facsímil</v>
      </c>
      <c r="K1877" s="3" t="s">
        <v>23</v>
      </c>
    </row>
    <row r="1878" spans="1:11" ht="42" customHeight="1">
      <c r="A1878" s="2" t="s">
        <v>4664</v>
      </c>
      <c r="B1878" s="2" t="s">
        <v>4664</v>
      </c>
      <c r="C1878" s="2" t="s">
        <v>36</v>
      </c>
      <c r="D1878" s="2" t="s">
        <v>37</v>
      </c>
      <c r="E1878" s="5">
        <v>-30307</v>
      </c>
      <c r="F1878" s="3" t="s">
        <v>67</v>
      </c>
      <c r="G1878" s="3" t="s">
        <v>39</v>
      </c>
      <c r="H1878" s="2" t="s">
        <v>21</v>
      </c>
      <c r="I1878" s="2" t="s">
        <v>4669</v>
      </c>
      <c r="J1878" s="3" t="str">
        <f>HYPERLINK("https://www.boe.es/gazeta/dias/1817/01/07/pdfs/GMD-1817-3.pdf#page=5","Abrir facsímil")</f>
        <v>Abrir facsímil</v>
      </c>
      <c r="K1878" s="3" t="s">
        <v>23</v>
      </c>
    </row>
    <row r="1879" spans="1:11" ht="42" customHeight="1">
      <c r="A1879" s="2" t="s">
        <v>4664</v>
      </c>
      <c r="B1879" s="2" t="s">
        <v>4664</v>
      </c>
      <c r="C1879" s="2" t="s">
        <v>36</v>
      </c>
      <c r="D1879" s="2" t="s">
        <v>37</v>
      </c>
      <c r="E1879" s="5">
        <v>-30305</v>
      </c>
      <c r="F1879" s="3" t="s">
        <v>405</v>
      </c>
      <c r="G1879" s="3" t="s">
        <v>4670</v>
      </c>
      <c r="H1879" s="2" t="s">
        <v>21</v>
      </c>
      <c r="I1879" s="2" t="s">
        <v>4671</v>
      </c>
      <c r="J1879" s="3" t="str">
        <f>HYPERLINK("https://www.boe.es/gazeta/dias/1817/01/09/pdfs/GMD-1817-4.pdf#page=6","Abrir facsímil")</f>
        <v>Abrir facsímil</v>
      </c>
      <c r="K1879" s="3" t="s">
        <v>23</v>
      </c>
    </row>
    <row r="1880" spans="1:11" ht="42" customHeight="1">
      <c r="A1880" s="2" t="s">
        <v>4664</v>
      </c>
      <c r="B1880" s="2" t="s">
        <v>4664</v>
      </c>
      <c r="C1880" s="2" t="s">
        <v>36</v>
      </c>
      <c r="D1880" s="2" t="s">
        <v>37</v>
      </c>
      <c r="E1880" s="5">
        <v>-30303</v>
      </c>
      <c r="F1880" s="3" t="s">
        <v>407</v>
      </c>
      <c r="G1880" s="3" t="s">
        <v>57</v>
      </c>
      <c r="H1880" s="2" t="s">
        <v>21</v>
      </c>
      <c r="I1880" s="2" t="s">
        <v>4672</v>
      </c>
      <c r="J1880" s="3" t="str">
        <f>HYPERLINK("https://www.boe.es/gazeta/dias/1817/01/11/pdfs/GMD-1817-5.pdf#page=6","Abrir facsímil")</f>
        <v>Abrir facsímil</v>
      </c>
      <c r="K1880" s="3" t="s">
        <v>23</v>
      </c>
    </row>
    <row r="1881" spans="1:11" ht="42" customHeight="1">
      <c r="A1881" s="2" t="s">
        <v>4664</v>
      </c>
      <c r="B1881" s="2" t="s">
        <v>4664</v>
      </c>
      <c r="C1881" s="2" t="s">
        <v>36</v>
      </c>
      <c r="D1881" s="2" t="s">
        <v>37</v>
      </c>
      <c r="E1881" s="5">
        <v>-30303</v>
      </c>
      <c r="F1881" s="3" t="s">
        <v>407</v>
      </c>
      <c r="G1881" s="3" t="s">
        <v>20</v>
      </c>
      <c r="H1881" s="2" t="s">
        <v>21</v>
      </c>
      <c r="I1881" s="2" t="s">
        <v>4673</v>
      </c>
      <c r="J1881" s="3" t="str">
        <f>HYPERLINK("https://www.boe.es/gazeta/dias/1817/01/11/pdfs/GMD-1817-5.pdf#page=7","Abrir facsímil")</f>
        <v>Abrir facsímil</v>
      </c>
      <c r="K1881" s="3" t="s">
        <v>23</v>
      </c>
    </row>
    <row r="1882" spans="1:11" ht="42" customHeight="1">
      <c r="A1882" s="2" t="s">
        <v>4664</v>
      </c>
      <c r="B1882" s="2" t="s">
        <v>4664</v>
      </c>
      <c r="C1882" s="2" t="s">
        <v>43</v>
      </c>
      <c r="D1882" s="2" t="s">
        <v>44</v>
      </c>
      <c r="E1882" s="5">
        <v>-30298</v>
      </c>
      <c r="F1882" s="3" t="s">
        <v>489</v>
      </c>
      <c r="G1882" s="3" t="s">
        <v>20</v>
      </c>
      <c r="H1882" s="2" t="s">
        <v>21</v>
      </c>
      <c r="I1882" s="2" t="s">
        <v>4674</v>
      </c>
      <c r="J1882" s="3" t="str">
        <f>HYPERLINK("https://www.boe.es/gazeta/dias/1817/01/16/pdfs/GMD-1817-7.pdf#page=7","Abrir facsímil")</f>
        <v>Abrir facsímil</v>
      </c>
      <c r="K1882" s="3" t="s">
        <v>23</v>
      </c>
    </row>
    <row r="1883" spans="1:11" ht="42" customHeight="1">
      <c r="A1883" s="2" t="s">
        <v>4664</v>
      </c>
      <c r="B1883" s="2" t="s">
        <v>4664</v>
      </c>
      <c r="C1883" s="2" t="s">
        <v>36</v>
      </c>
      <c r="D1883" s="2" t="s">
        <v>37</v>
      </c>
      <c r="E1883" s="5">
        <v>-30296</v>
      </c>
      <c r="F1883" s="3" t="s">
        <v>357</v>
      </c>
      <c r="G1883" s="3" t="s">
        <v>112</v>
      </c>
      <c r="H1883" s="2" t="s">
        <v>21</v>
      </c>
      <c r="I1883" s="2" t="s">
        <v>4675</v>
      </c>
      <c r="J1883" s="3" t="str">
        <f>HYPERLINK("https://www.boe.es/gazeta/dias/1817/01/18/pdfs/GMD-1817-8.pdf#page=11","Abrir facsímil")</f>
        <v>Abrir facsímil</v>
      </c>
      <c r="K1883" s="3" t="s">
        <v>23</v>
      </c>
    </row>
    <row r="1884" spans="1:11" ht="42" customHeight="1">
      <c r="A1884" s="2" t="s">
        <v>4664</v>
      </c>
      <c r="B1884" s="2" t="s">
        <v>4664</v>
      </c>
      <c r="C1884" s="2" t="s">
        <v>138</v>
      </c>
      <c r="D1884" s="2" t="s">
        <v>44</v>
      </c>
      <c r="E1884" s="5">
        <v>-30291</v>
      </c>
      <c r="F1884" s="3" t="s">
        <v>1041</v>
      </c>
      <c r="G1884" s="3" t="s">
        <v>39</v>
      </c>
      <c r="H1884" s="2" t="s">
        <v>21</v>
      </c>
      <c r="I1884" s="2" t="s">
        <v>4676</v>
      </c>
      <c r="J1884" s="3" t="str">
        <f>HYPERLINK("https://www.boe.es/gazeta/dias/1817/01/23/pdfs/GMD-1817-10.pdf#page=5","Abrir facsímil")</f>
        <v>Abrir facsímil</v>
      </c>
      <c r="K1884" s="3" t="s">
        <v>23</v>
      </c>
    </row>
    <row r="1885" spans="1:11" ht="42" customHeight="1">
      <c r="A1885" s="2" t="s">
        <v>4664</v>
      </c>
      <c r="B1885" s="2" t="s">
        <v>4664</v>
      </c>
      <c r="C1885" s="2" t="s">
        <v>36</v>
      </c>
      <c r="D1885" s="2" t="s">
        <v>37</v>
      </c>
      <c r="E1885" s="5">
        <v>-30289</v>
      </c>
      <c r="F1885" s="3" t="s">
        <v>193</v>
      </c>
      <c r="G1885" s="3" t="s">
        <v>57</v>
      </c>
      <c r="H1885" s="2" t="s">
        <v>21</v>
      </c>
      <c r="I1885" s="2" t="s">
        <v>4677</v>
      </c>
      <c r="J1885" s="3" t="str">
        <f>HYPERLINK("https://www.boe.es/gazeta/dias/1817/01/25/pdfs/GMD-1817-11.pdf#page=6","Abrir facsímil")</f>
        <v>Abrir facsímil</v>
      </c>
      <c r="K1885" s="3" t="s">
        <v>23</v>
      </c>
    </row>
    <row r="1886" spans="1:11" ht="42" customHeight="1">
      <c r="A1886" s="2" t="s">
        <v>4664</v>
      </c>
      <c r="B1886" s="2" t="s">
        <v>4664</v>
      </c>
      <c r="C1886" s="2" t="s">
        <v>17</v>
      </c>
      <c r="D1886" s="2" t="s">
        <v>18</v>
      </c>
      <c r="E1886" s="5">
        <v>-30286</v>
      </c>
      <c r="F1886" s="3" t="s">
        <v>354</v>
      </c>
      <c r="G1886" s="3" t="s">
        <v>1580</v>
      </c>
      <c r="H1886" s="2" t="s">
        <v>21</v>
      </c>
      <c r="I1886" s="2" t="s">
        <v>4678</v>
      </c>
      <c r="J1886" s="3" t="str">
        <f>HYPERLINK("https://www.boe.es/gazeta/dias/1817/01/28/pdfs/GMD-1817-12.pdf#page=5","Abrir facsímil")</f>
        <v>Abrir facsímil</v>
      </c>
      <c r="K1886" s="3" t="s">
        <v>23</v>
      </c>
    </row>
    <row r="1887" spans="1:11" ht="42" customHeight="1">
      <c r="A1887" s="2" t="s">
        <v>4664</v>
      </c>
      <c r="B1887" s="2" t="s">
        <v>4664</v>
      </c>
      <c r="C1887" s="2" t="s">
        <v>36</v>
      </c>
      <c r="D1887" s="2" t="s">
        <v>37</v>
      </c>
      <c r="E1887" s="5">
        <v>-30286</v>
      </c>
      <c r="F1887" s="3" t="s">
        <v>354</v>
      </c>
      <c r="G1887" s="3" t="s">
        <v>57</v>
      </c>
      <c r="H1887" s="2" t="s">
        <v>21</v>
      </c>
      <c r="I1887" s="2" t="s">
        <v>4679</v>
      </c>
      <c r="J1887" s="3" t="str">
        <f>HYPERLINK("https://www.boe.es/gazeta/dias/1817/01/28/pdfs/GMD-1817-12.pdf#page=6","Abrir facsímil")</f>
        <v>Abrir facsímil</v>
      </c>
      <c r="K1887" s="3" t="s">
        <v>23</v>
      </c>
    </row>
    <row r="1888" spans="1:11" ht="42" customHeight="1">
      <c r="A1888" s="2" t="s">
        <v>4664</v>
      </c>
      <c r="B1888" s="2" t="s">
        <v>4664</v>
      </c>
      <c r="C1888" s="2" t="s">
        <v>17</v>
      </c>
      <c r="D1888" s="2" t="s">
        <v>18</v>
      </c>
      <c r="E1888" s="5">
        <v>-30284</v>
      </c>
      <c r="F1888" s="3" t="s">
        <v>741</v>
      </c>
      <c r="G1888" s="3" t="s">
        <v>742</v>
      </c>
      <c r="H1888" s="2" t="s">
        <v>21</v>
      </c>
      <c r="I1888" s="2" t="s">
        <v>4680</v>
      </c>
      <c r="J1888" s="3" t="str">
        <f>HYPERLINK("https://www.boe.es/gazeta/dias/1817/01/30/pdfs/GMD-1817-13.pdf#page=4","Abrir facsímil")</f>
        <v>Abrir facsímil</v>
      </c>
      <c r="K1888" s="3" t="s">
        <v>23</v>
      </c>
    </row>
    <row r="1889" spans="1:11" ht="42" customHeight="1">
      <c r="A1889" s="2" t="s">
        <v>4664</v>
      </c>
      <c r="B1889" s="2" t="s">
        <v>4664</v>
      </c>
      <c r="C1889" s="2" t="s">
        <v>43</v>
      </c>
      <c r="D1889" s="2" t="s">
        <v>44</v>
      </c>
      <c r="E1889" s="5">
        <v>-30284</v>
      </c>
      <c r="F1889" s="3" t="s">
        <v>741</v>
      </c>
      <c r="G1889" s="3" t="s">
        <v>4681</v>
      </c>
      <c r="H1889" s="2" t="s">
        <v>21</v>
      </c>
      <c r="I1889" s="2" t="s">
        <v>4682</v>
      </c>
      <c r="J1889" s="3" t="str">
        <f>HYPERLINK("https://www.boe.es/gazeta/dias/1817/01/30/pdfs/GMD-1817-13.pdf#page=5","Abrir facsímil")</f>
        <v>Abrir facsímil</v>
      </c>
      <c r="K1889" s="3" t="s">
        <v>23</v>
      </c>
    </row>
    <row r="1890" spans="1:11" ht="42" customHeight="1">
      <c r="A1890" s="2" t="s">
        <v>4664</v>
      </c>
      <c r="B1890" s="2" t="s">
        <v>4664</v>
      </c>
      <c r="C1890" s="2" t="s">
        <v>138</v>
      </c>
      <c r="D1890" s="2" t="s">
        <v>44</v>
      </c>
      <c r="E1890" s="5">
        <v>-30279</v>
      </c>
      <c r="F1890" s="3" t="s">
        <v>1113</v>
      </c>
      <c r="G1890" s="3" t="s">
        <v>39</v>
      </c>
      <c r="H1890" s="2" t="s">
        <v>21</v>
      </c>
      <c r="I1890" s="2" t="s">
        <v>4683</v>
      </c>
      <c r="J1890" s="3" t="str">
        <f>HYPERLINK("https://www.boe.es/gazeta/dias/1817/02/04/pdfs/GMD-1817-15.pdf#page=5","Abrir facsímil")</f>
        <v>Abrir facsímil</v>
      </c>
      <c r="K1890" s="3" t="s">
        <v>23</v>
      </c>
    </row>
    <row r="1891" spans="1:11" ht="42" customHeight="1">
      <c r="A1891" s="2" t="s">
        <v>4664</v>
      </c>
      <c r="B1891" s="2" t="s">
        <v>4664</v>
      </c>
      <c r="C1891" s="2" t="s">
        <v>17</v>
      </c>
      <c r="D1891" s="2" t="s">
        <v>18</v>
      </c>
      <c r="E1891" s="5">
        <v>-30277</v>
      </c>
      <c r="F1891" s="3" t="s">
        <v>3822</v>
      </c>
      <c r="G1891" s="3" t="s">
        <v>4684</v>
      </c>
      <c r="H1891" s="2" t="s">
        <v>21</v>
      </c>
      <c r="I1891" s="2" t="s">
        <v>4685</v>
      </c>
      <c r="J1891" s="3" t="str">
        <f>HYPERLINK("https://www.boe.es/gazeta/dias/1817/02/06/pdfs/GMD-1817-16.pdf#page=6","Abrir facsímil")</f>
        <v>Abrir facsímil</v>
      </c>
      <c r="K1891" s="3" t="s">
        <v>23</v>
      </c>
    </row>
    <row r="1892" spans="1:11" ht="42" customHeight="1">
      <c r="A1892" s="2" t="s">
        <v>4664</v>
      </c>
      <c r="B1892" s="2" t="s">
        <v>4664</v>
      </c>
      <c r="C1892" s="2" t="s">
        <v>36</v>
      </c>
      <c r="D1892" s="2" t="s">
        <v>37</v>
      </c>
      <c r="E1892" s="5">
        <v>-30272</v>
      </c>
      <c r="F1892" s="3" t="s">
        <v>493</v>
      </c>
      <c r="G1892" s="3" t="s">
        <v>57</v>
      </c>
      <c r="H1892" s="2" t="s">
        <v>21</v>
      </c>
      <c r="I1892" s="2" t="s">
        <v>4686</v>
      </c>
      <c r="J1892" s="3" t="str">
        <f>HYPERLINK("https://www.boe.es/gazeta/dias/1817/02/11/pdfs/GMD-1817-18.pdf#page=6","Abrir facsímil")</f>
        <v>Abrir facsímil</v>
      </c>
      <c r="K1892" s="3" t="s">
        <v>23</v>
      </c>
    </row>
    <row r="1893" spans="1:11" ht="42" customHeight="1">
      <c r="A1893" s="2" t="s">
        <v>4664</v>
      </c>
      <c r="B1893" s="2" t="s">
        <v>4664</v>
      </c>
      <c r="C1893" s="2" t="s">
        <v>43</v>
      </c>
      <c r="D1893" s="2" t="s">
        <v>44</v>
      </c>
      <c r="E1893" s="5">
        <v>-30270</v>
      </c>
      <c r="F1893" s="3" t="s">
        <v>341</v>
      </c>
      <c r="G1893" s="3" t="s">
        <v>57</v>
      </c>
      <c r="H1893" s="2" t="s">
        <v>21</v>
      </c>
      <c r="I1893" s="2" t="s">
        <v>4687</v>
      </c>
      <c r="J1893" s="3" t="str">
        <f>HYPERLINK("https://www.boe.es/gazeta/dias/1817/02/13/pdfs/GMD-1817-19.pdf#page=6","Abrir facsímil")</f>
        <v>Abrir facsímil</v>
      </c>
      <c r="K1893" s="3" t="s">
        <v>23</v>
      </c>
    </row>
    <row r="1894" spans="1:11" ht="42" customHeight="1">
      <c r="A1894" s="2" t="s">
        <v>4664</v>
      </c>
      <c r="B1894" s="2" t="s">
        <v>4664</v>
      </c>
      <c r="C1894" s="2" t="s">
        <v>36</v>
      </c>
      <c r="D1894" s="2" t="s">
        <v>37</v>
      </c>
      <c r="E1894" s="5">
        <v>-30268</v>
      </c>
      <c r="F1894" s="3" t="s">
        <v>1160</v>
      </c>
      <c r="G1894" s="3" t="s">
        <v>57</v>
      </c>
      <c r="H1894" s="2" t="s">
        <v>21</v>
      </c>
      <c r="I1894" s="2" t="s">
        <v>4688</v>
      </c>
      <c r="J1894" s="3" t="str">
        <f>HYPERLINK("https://www.boe.es/gazeta/dias/1817/02/15/pdfs/GMD-1817-20.pdf#page=6","Abrir facsímil")</f>
        <v>Abrir facsímil</v>
      </c>
      <c r="K1894" s="3" t="s">
        <v>23</v>
      </c>
    </row>
    <row r="1895" spans="1:11" ht="42" customHeight="1">
      <c r="A1895" s="2" t="s">
        <v>4664</v>
      </c>
      <c r="B1895" s="2" t="s">
        <v>4664</v>
      </c>
      <c r="C1895" s="2" t="s">
        <v>17</v>
      </c>
      <c r="D1895" s="2" t="s">
        <v>18</v>
      </c>
      <c r="E1895" s="5">
        <v>-30265</v>
      </c>
      <c r="F1895" s="3" t="s">
        <v>107</v>
      </c>
      <c r="G1895" s="3" t="s">
        <v>298</v>
      </c>
      <c r="H1895" s="2" t="s">
        <v>21</v>
      </c>
      <c r="I1895" s="2" t="s">
        <v>4689</v>
      </c>
      <c r="J1895" s="3" t="str">
        <f>HYPERLINK("https://www.boe.es/gazeta/dias/1817/02/18/pdfs/GMD-1817-21.pdf#page=6","Abrir facsímil")</f>
        <v>Abrir facsímil</v>
      </c>
      <c r="K1895" s="3" t="s">
        <v>23</v>
      </c>
    </row>
    <row r="1896" spans="1:11" ht="42" customHeight="1">
      <c r="A1896" s="2" t="s">
        <v>4664</v>
      </c>
      <c r="B1896" s="2" t="s">
        <v>4664</v>
      </c>
      <c r="C1896" s="2" t="s">
        <v>43</v>
      </c>
      <c r="D1896" s="2" t="s">
        <v>44</v>
      </c>
      <c r="E1896" s="5">
        <v>-30263</v>
      </c>
      <c r="F1896" s="3" t="s">
        <v>1794</v>
      </c>
      <c r="G1896" s="3" t="s">
        <v>20</v>
      </c>
      <c r="H1896" s="2" t="s">
        <v>21</v>
      </c>
      <c r="I1896" s="2" t="s">
        <v>4690</v>
      </c>
      <c r="J1896" s="3" t="str">
        <f>HYPERLINK("https://www.boe.es/gazeta/dias/1817/02/20/pdfs/GMD-1817-22.pdf#page=7","Abrir facsímil")</f>
        <v>Abrir facsímil</v>
      </c>
      <c r="K1896" s="3" t="s">
        <v>23</v>
      </c>
    </row>
    <row r="1897" spans="1:11" ht="42" customHeight="1">
      <c r="A1897" s="2" t="s">
        <v>4664</v>
      </c>
      <c r="B1897" s="2" t="s">
        <v>4664</v>
      </c>
      <c r="C1897" s="2" t="s">
        <v>17</v>
      </c>
      <c r="D1897" s="2" t="s">
        <v>18</v>
      </c>
      <c r="E1897" s="5">
        <v>-30254</v>
      </c>
      <c r="F1897" s="3" t="s">
        <v>124</v>
      </c>
      <c r="G1897" s="3" t="s">
        <v>20</v>
      </c>
      <c r="H1897" s="2" t="s">
        <v>21</v>
      </c>
      <c r="I1897" s="2" t="s">
        <v>4691</v>
      </c>
      <c r="J1897" s="3" t="str">
        <f>HYPERLINK("https://www.boe.es/gazeta/dias/1817/03/01/pdfs/GMD-1817-26.pdf#page=7","Abrir facsímil")</f>
        <v>Abrir facsímil</v>
      </c>
      <c r="K1897" s="3" t="s">
        <v>23</v>
      </c>
    </row>
    <row r="1898" spans="1:11" ht="42" customHeight="1">
      <c r="A1898" s="2" t="s">
        <v>4664</v>
      </c>
      <c r="B1898" s="2" t="s">
        <v>4664</v>
      </c>
      <c r="C1898" s="2" t="s">
        <v>138</v>
      </c>
      <c r="D1898" s="2" t="s">
        <v>44</v>
      </c>
      <c r="E1898" s="5">
        <v>-30251</v>
      </c>
      <c r="F1898" s="3" t="s">
        <v>2096</v>
      </c>
      <c r="G1898" s="3" t="s">
        <v>39</v>
      </c>
      <c r="H1898" s="2" t="s">
        <v>21</v>
      </c>
      <c r="I1898" s="2" t="s">
        <v>4692</v>
      </c>
      <c r="J1898" s="3" t="str">
        <f>HYPERLINK("https://www.boe.es/gazeta/dias/1817/03/04/pdfs/GMD-1817-27.pdf#page=5","Abrir facsímil")</f>
        <v>Abrir facsímil</v>
      </c>
      <c r="K1898" s="3" t="s">
        <v>23</v>
      </c>
    </row>
    <row r="1899" spans="1:11" ht="42" customHeight="1">
      <c r="A1899" s="2" t="s">
        <v>4664</v>
      </c>
      <c r="B1899" s="2" t="s">
        <v>4664</v>
      </c>
      <c r="C1899" s="2" t="s">
        <v>36</v>
      </c>
      <c r="D1899" s="2" t="s">
        <v>37</v>
      </c>
      <c r="E1899" s="5">
        <v>-30242</v>
      </c>
      <c r="F1899" s="3" t="s">
        <v>62</v>
      </c>
      <c r="G1899" s="3" t="s">
        <v>1802</v>
      </c>
      <c r="H1899" s="2" t="s">
        <v>21</v>
      </c>
      <c r="I1899" s="2" t="s">
        <v>4693</v>
      </c>
      <c r="J1899" s="3" t="str">
        <f>HYPERLINK("https://www.boe.es/gazeta/dias/1817/03/13/pdfs/GMD-1817-31.pdf#page=5","Abrir facsímil")</f>
        <v>Abrir facsímil</v>
      </c>
      <c r="K1899" s="3" t="s">
        <v>23</v>
      </c>
    </row>
    <row r="1900" spans="1:11" ht="42" customHeight="1">
      <c r="A1900" s="2" t="s">
        <v>4664</v>
      </c>
      <c r="B1900" s="2" t="s">
        <v>4664</v>
      </c>
      <c r="C1900" s="2" t="s">
        <v>36</v>
      </c>
      <c r="D1900" s="2" t="s">
        <v>37</v>
      </c>
      <c r="E1900" s="5">
        <v>-30240</v>
      </c>
      <c r="F1900" s="3" t="s">
        <v>347</v>
      </c>
      <c r="G1900" s="3" t="s">
        <v>3762</v>
      </c>
      <c r="H1900" s="2" t="s">
        <v>21</v>
      </c>
      <c r="I1900" s="2" t="s">
        <v>4694</v>
      </c>
      <c r="J1900" s="3" t="str">
        <f>HYPERLINK("https://www.boe.es/gazeta/dias/1817/03/15/pdfs/GMD-1817-32.pdf#page=5","Abrir facsímil")</f>
        <v>Abrir facsímil</v>
      </c>
      <c r="K1900" s="3" t="s">
        <v>23</v>
      </c>
    </row>
    <row r="1901" spans="1:11" ht="42" customHeight="1">
      <c r="A1901" s="2" t="s">
        <v>4664</v>
      </c>
      <c r="B1901" s="2" t="s">
        <v>4664</v>
      </c>
      <c r="C1901" s="2" t="s">
        <v>43</v>
      </c>
      <c r="D1901" s="2" t="s">
        <v>44</v>
      </c>
      <c r="E1901" s="5">
        <v>-30237</v>
      </c>
      <c r="F1901" s="3" t="s">
        <v>56</v>
      </c>
      <c r="G1901" s="3" t="s">
        <v>144</v>
      </c>
      <c r="H1901" s="2" t="s">
        <v>21</v>
      </c>
      <c r="I1901" s="2" t="s">
        <v>4695</v>
      </c>
      <c r="J1901" s="3" t="str">
        <f>HYPERLINK("https://www.boe.es/gazeta/dias/1817/03/18/pdfs/GMD-1817-33.pdf#page=4","Abrir facsímil")</f>
        <v>Abrir facsímil</v>
      </c>
      <c r="K1901" s="3" t="s">
        <v>23</v>
      </c>
    </row>
    <row r="1902" spans="1:11" ht="42" customHeight="1">
      <c r="A1902" s="2" t="s">
        <v>4664</v>
      </c>
      <c r="B1902" s="2" t="s">
        <v>4664</v>
      </c>
      <c r="C1902" s="2" t="s">
        <v>43</v>
      </c>
      <c r="D1902" s="2" t="s">
        <v>44</v>
      </c>
      <c r="E1902" s="5">
        <v>-30233</v>
      </c>
      <c r="F1902" s="3" t="s">
        <v>577</v>
      </c>
      <c r="G1902" s="3" t="s">
        <v>39</v>
      </c>
      <c r="H1902" s="2" t="s">
        <v>21</v>
      </c>
      <c r="I1902" s="2" t="s">
        <v>4696</v>
      </c>
      <c r="J1902" s="3" t="str">
        <f>HYPERLINK("https://www.boe.es/gazeta/dias/1817/03/22/pdfs/GMD-1817-35.pdf#page=5","Abrir facsímil")</f>
        <v>Abrir facsímil</v>
      </c>
      <c r="K1902" s="3" t="s">
        <v>23</v>
      </c>
    </row>
    <row r="1903" spans="1:11" ht="42" customHeight="1">
      <c r="A1903" s="2" t="s">
        <v>4664</v>
      </c>
      <c r="B1903" s="2" t="s">
        <v>4664</v>
      </c>
      <c r="C1903" s="2" t="s">
        <v>43</v>
      </c>
      <c r="D1903" s="2" t="s">
        <v>44</v>
      </c>
      <c r="E1903" s="5">
        <v>-30233</v>
      </c>
      <c r="F1903" s="3" t="s">
        <v>577</v>
      </c>
      <c r="G1903" s="3" t="s">
        <v>57</v>
      </c>
      <c r="H1903" s="2" t="s">
        <v>21</v>
      </c>
      <c r="I1903" s="2" t="s">
        <v>4697</v>
      </c>
      <c r="J1903" s="3" t="str">
        <f>HYPERLINK("https://www.boe.es/gazeta/dias/1817/03/22/pdfs/GMD-1817-35.pdf#page=6","Abrir facsímil")</f>
        <v>Abrir facsímil</v>
      </c>
      <c r="K1903" s="3" t="s">
        <v>23</v>
      </c>
    </row>
    <row r="1904" spans="1:11" ht="42" customHeight="1">
      <c r="A1904" s="2" t="s">
        <v>4664</v>
      </c>
      <c r="B1904" s="2" t="s">
        <v>4664</v>
      </c>
      <c r="C1904" s="2" t="s">
        <v>17</v>
      </c>
      <c r="D1904" s="2" t="s">
        <v>18</v>
      </c>
      <c r="E1904" s="5">
        <v>-30233</v>
      </c>
      <c r="F1904" s="3" t="s">
        <v>577</v>
      </c>
      <c r="G1904" s="3" t="s">
        <v>20</v>
      </c>
      <c r="H1904" s="2" t="s">
        <v>21</v>
      </c>
      <c r="I1904" s="2" t="s">
        <v>4698</v>
      </c>
      <c r="J1904" s="3" t="str">
        <f>HYPERLINK("https://www.boe.es/gazeta/dias/1817/03/22/pdfs/GMD-1817-35.pdf#page=7","Abrir facsímil")</f>
        <v>Abrir facsímil</v>
      </c>
      <c r="K1904" s="3" t="s">
        <v>23</v>
      </c>
    </row>
    <row r="1905" spans="1:11" ht="42" customHeight="1">
      <c r="A1905" s="2" t="s">
        <v>4664</v>
      </c>
      <c r="B1905" s="2" t="s">
        <v>4664</v>
      </c>
      <c r="C1905" s="2" t="s">
        <v>43</v>
      </c>
      <c r="D1905" s="2" t="s">
        <v>44</v>
      </c>
      <c r="E1905" s="5">
        <v>-30230</v>
      </c>
      <c r="F1905" s="3" t="s">
        <v>189</v>
      </c>
      <c r="G1905" s="3" t="s">
        <v>2911</v>
      </c>
      <c r="H1905" s="2" t="s">
        <v>21</v>
      </c>
      <c r="I1905" s="2" t="s">
        <v>4699</v>
      </c>
      <c r="J1905" s="3" t="str">
        <f>HYPERLINK("https://www.boe.es/gazeta/dias/1817/03/25/pdfs/GMD-1817-36.pdf#page=6","Abrir facsímil")</f>
        <v>Abrir facsímil</v>
      </c>
      <c r="K1905" s="3" t="s">
        <v>23</v>
      </c>
    </row>
    <row r="1906" spans="1:11" ht="42" customHeight="1">
      <c r="A1906" s="2" t="s">
        <v>4664</v>
      </c>
      <c r="B1906" s="2" t="s">
        <v>4664</v>
      </c>
      <c r="C1906" s="2" t="s">
        <v>36</v>
      </c>
      <c r="D1906" s="2" t="s">
        <v>37</v>
      </c>
      <c r="E1906" s="5">
        <v>-30230</v>
      </c>
      <c r="F1906" s="3" t="s">
        <v>189</v>
      </c>
      <c r="G1906" s="3" t="s">
        <v>20</v>
      </c>
      <c r="H1906" s="2" t="s">
        <v>21</v>
      </c>
      <c r="I1906" s="2" t="s">
        <v>4700</v>
      </c>
      <c r="J1906" s="3" t="str">
        <f>HYPERLINK("https://www.boe.es/gazeta/dias/1817/03/25/pdfs/GMD-1817-36.pdf#page=7","Abrir facsímil")</f>
        <v>Abrir facsímil</v>
      </c>
      <c r="K1906" s="3" t="s">
        <v>23</v>
      </c>
    </row>
    <row r="1907" spans="1:11" ht="42" customHeight="1">
      <c r="A1907" s="2" t="s">
        <v>4664</v>
      </c>
      <c r="B1907" s="2" t="s">
        <v>4664</v>
      </c>
      <c r="C1907" s="2" t="s">
        <v>55</v>
      </c>
      <c r="D1907" s="2" t="s">
        <v>44</v>
      </c>
      <c r="E1907" s="5">
        <v>-30212</v>
      </c>
      <c r="F1907" s="3" t="s">
        <v>745</v>
      </c>
      <c r="G1907" s="3" t="s">
        <v>77</v>
      </c>
      <c r="H1907" s="2" t="s">
        <v>21</v>
      </c>
      <c r="I1907" s="2" t="s">
        <v>4701</v>
      </c>
      <c r="J1907" s="3" t="str">
        <f>HYPERLINK("https://www.boe.es/gazeta/dias/1817/04/12/pdfs/GMD-1817-44.pdf#page=8","Abrir facsímil")</f>
        <v>Abrir facsímil</v>
      </c>
      <c r="K1907" s="3" t="s">
        <v>23</v>
      </c>
    </row>
    <row r="1908" spans="1:11" ht="42" customHeight="1">
      <c r="A1908" s="2" t="s">
        <v>4664</v>
      </c>
      <c r="B1908" s="2" t="s">
        <v>4664</v>
      </c>
      <c r="C1908" s="2" t="s">
        <v>43</v>
      </c>
      <c r="D1908" s="2" t="s">
        <v>44</v>
      </c>
      <c r="E1908" s="5">
        <v>-30207</v>
      </c>
      <c r="F1908" s="3" t="s">
        <v>1139</v>
      </c>
      <c r="G1908" s="3" t="s">
        <v>39</v>
      </c>
      <c r="H1908" s="2" t="s">
        <v>21</v>
      </c>
      <c r="I1908" s="2" t="s">
        <v>4702</v>
      </c>
      <c r="J1908" s="3" t="str">
        <f>HYPERLINK("https://www.boe.es/gazeta/dias/1817/04/17/pdfs/GMD-1817-46.pdf#page=5","Abrir facsímil")</f>
        <v>Abrir facsímil</v>
      </c>
      <c r="K1908" s="3" t="s">
        <v>23</v>
      </c>
    </row>
    <row r="1909" spans="1:11" ht="42" customHeight="1">
      <c r="A1909" s="2" t="s">
        <v>4664</v>
      </c>
      <c r="B1909" s="2" t="s">
        <v>4664</v>
      </c>
      <c r="C1909" s="2" t="s">
        <v>36</v>
      </c>
      <c r="D1909" s="2" t="s">
        <v>37</v>
      </c>
      <c r="E1909" s="5">
        <v>-30202</v>
      </c>
      <c r="F1909" s="3" t="s">
        <v>418</v>
      </c>
      <c r="G1909" s="3" t="s">
        <v>4703</v>
      </c>
      <c r="H1909" s="2" t="s">
        <v>21</v>
      </c>
      <c r="I1909" s="2" t="s">
        <v>4704</v>
      </c>
      <c r="J1909" s="3" t="str">
        <f>HYPERLINK("https://www.boe.es/gazeta/dias/1817/04/22/pdfs/GMD-1817-48.pdf#page=4","Abrir facsímil")</f>
        <v>Abrir facsímil</v>
      </c>
      <c r="K1909" s="3" t="s">
        <v>23</v>
      </c>
    </row>
    <row r="1910" spans="1:11" ht="42" customHeight="1">
      <c r="A1910" s="2" t="s">
        <v>4664</v>
      </c>
      <c r="B1910" s="2" t="s">
        <v>4664</v>
      </c>
      <c r="C1910" s="2" t="s">
        <v>17</v>
      </c>
      <c r="D1910" s="2" t="s">
        <v>18</v>
      </c>
      <c r="E1910" s="5">
        <v>-30195</v>
      </c>
      <c r="F1910" s="3" t="s">
        <v>1163</v>
      </c>
      <c r="G1910" s="3" t="s">
        <v>144</v>
      </c>
      <c r="H1910" s="2" t="s">
        <v>21</v>
      </c>
      <c r="I1910" s="2" t="s">
        <v>4705</v>
      </c>
      <c r="J1910" s="3" t="str">
        <f>HYPERLINK("https://www.boe.es/gazeta/dias/1817/04/29/pdfs/GMD-1817-51.pdf#page=4","Abrir facsímil")</f>
        <v>Abrir facsímil</v>
      </c>
      <c r="K1910" s="3" t="s">
        <v>23</v>
      </c>
    </row>
    <row r="1911" spans="1:11" ht="42" customHeight="1">
      <c r="A1911" s="2" t="s">
        <v>4664</v>
      </c>
      <c r="B1911" s="2" t="s">
        <v>4664</v>
      </c>
      <c r="C1911" s="2" t="s">
        <v>36</v>
      </c>
      <c r="D1911" s="2" t="s">
        <v>37</v>
      </c>
      <c r="E1911" s="5">
        <v>-30188</v>
      </c>
      <c r="F1911" s="3" t="s">
        <v>177</v>
      </c>
      <c r="G1911" s="3" t="s">
        <v>57</v>
      </c>
      <c r="H1911" s="2" t="s">
        <v>21</v>
      </c>
      <c r="I1911" s="2" t="s">
        <v>4706</v>
      </c>
      <c r="J1911" s="3" t="str">
        <f>HYPERLINK("https://www.boe.es/gazeta/dias/1817/05/06/pdfs/GMD-1817-54.pdf#page=6","Abrir facsímil")</f>
        <v>Abrir facsímil</v>
      </c>
      <c r="K1911" s="3" t="s">
        <v>23</v>
      </c>
    </row>
    <row r="1912" spans="1:11" ht="42" customHeight="1">
      <c r="A1912" s="2" t="s">
        <v>4664</v>
      </c>
      <c r="B1912" s="2" t="s">
        <v>4664</v>
      </c>
      <c r="C1912" s="2" t="s">
        <v>36</v>
      </c>
      <c r="D1912" s="2" t="s">
        <v>37</v>
      </c>
      <c r="E1912" s="5">
        <v>-30188</v>
      </c>
      <c r="F1912" s="3" t="s">
        <v>177</v>
      </c>
      <c r="G1912" s="3" t="s">
        <v>20</v>
      </c>
      <c r="H1912" s="2" t="s">
        <v>21</v>
      </c>
      <c r="I1912" s="2" t="s">
        <v>4707</v>
      </c>
      <c r="J1912" s="3" t="str">
        <f>HYPERLINK("https://www.boe.es/gazeta/dias/1817/05/06/pdfs/GMD-1817-54.pdf#page=7","Abrir facsímil")</f>
        <v>Abrir facsímil</v>
      </c>
      <c r="K1912" s="3" t="s">
        <v>23</v>
      </c>
    </row>
    <row r="1913" spans="1:11" ht="42" customHeight="1">
      <c r="A1913" s="2" t="s">
        <v>4664</v>
      </c>
      <c r="B1913" s="2" t="s">
        <v>4664</v>
      </c>
      <c r="C1913" s="2" t="s">
        <v>36</v>
      </c>
      <c r="D1913" s="2" t="s">
        <v>37</v>
      </c>
      <c r="E1913" s="5">
        <v>-30186</v>
      </c>
      <c r="F1913" s="3" t="s">
        <v>2003</v>
      </c>
      <c r="G1913" s="3" t="s">
        <v>2886</v>
      </c>
      <c r="H1913" s="2" t="s">
        <v>21</v>
      </c>
      <c r="I1913" s="2" t="s">
        <v>4708</v>
      </c>
      <c r="J1913" s="3" t="str">
        <f>HYPERLINK("https://www.boe.es/gazeta/dias/1817/05/08/pdfs/GMD-1817-55.pdf#page=6","Abrir facsímil")</f>
        <v>Abrir facsímil</v>
      </c>
      <c r="K1913" s="3" t="s">
        <v>23</v>
      </c>
    </row>
    <row r="1914" spans="1:11" ht="42" customHeight="1">
      <c r="A1914" s="2" t="s">
        <v>4664</v>
      </c>
      <c r="B1914" s="2" t="s">
        <v>4664</v>
      </c>
      <c r="C1914" s="2" t="s">
        <v>17</v>
      </c>
      <c r="D1914" s="2" t="s">
        <v>18</v>
      </c>
      <c r="E1914" s="5">
        <v>-30179</v>
      </c>
      <c r="F1914" s="3" t="s">
        <v>391</v>
      </c>
      <c r="G1914" s="3" t="s">
        <v>4709</v>
      </c>
      <c r="H1914" s="2" t="s">
        <v>21</v>
      </c>
      <c r="I1914" s="2" t="s">
        <v>4710</v>
      </c>
      <c r="J1914" s="3" t="str">
        <f>HYPERLINK("https://www.boe.es/gazeta/dias/1817/05/15/pdfs/GMD-1817-58.pdf#page=5","Abrir facsímil")</f>
        <v>Abrir facsímil</v>
      </c>
      <c r="K1914" s="3" t="s">
        <v>23</v>
      </c>
    </row>
    <row r="1915" spans="1:11" ht="42" customHeight="1">
      <c r="A1915" s="2" t="s">
        <v>4664</v>
      </c>
      <c r="B1915" s="2" t="s">
        <v>4664</v>
      </c>
      <c r="C1915" s="2" t="s">
        <v>17</v>
      </c>
      <c r="D1915" s="2" t="s">
        <v>18</v>
      </c>
      <c r="E1915" s="5">
        <v>-30179</v>
      </c>
      <c r="F1915" s="3" t="s">
        <v>391</v>
      </c>
      <c r="G1915" s="3" t="s">
        <v>57</v>
      </c>
      <c r="H1915" s="2" t="s">
        <v>21</v>
      </c>
      <c r="I1915" s="2" t="s">
        <v>4711</v>
      </c>
      <c r="J1915" s="3" t="str">
        <f>HYPERLINK("https://www.boe.es/gazeta/dias/1817/05/15/pdfs/GMD-1817-58.pdf#page=6","Abrir facsímil")</f>
        <v>Abrir facsímil</v>
      </c>
      <c r="K1915" s="3" t="s">
        <v>23</v>
      </c>
    </row>
    <row r="1916" spans="1:11" ht="42" customHeight="1">
      <c r="A1916" s="2" t="s">
        <v>4664</v>
      </c>
      <c r="B1916" s="2" t="s">
        <v>4664</v>
      </c>
      <c r="C1916" s="2" t="s">
        <v>17</v>
      </c>
      <c r="D1916" s="2" t="s">
        <v>18</v>
      </c>
      <c r="E1916" s="5">
        <v>-30151</v>
      </c>
      <c r="F1916" s="3" t="s">
        <v>1422</v>
      </c>
      <c r="G1916" s="3" t="s">
        <v>57</v>
      </c>
      <c r="H1916" s="2" t="s">
        <v>21</v>
      </c>
      <c r="I1916" s="2" t="s">
        <v>4712</v>
      </c>
      <c r="J1916" s="3" t="str">
        <f>HYPERLINK("https://www.boe.es/gazeta/dias/1817/06/12/pdfs/GMD-1817-70.pdf#page=6","Abrir facsímil")</f>
        <v>Abrir facsímil</v>
      </c>
      <c r="K1916" s="3" t="s">
        <v>23</v>
      </c>
    </row>
    <row r="1917" spans="1:11" ht="42" customHeight="1">
      <c r="A1917" s="2" t="s">
        <v>4664</v>
      </c>
      <c r="B1917" s="2" t="s">
        <v>4664</v>
      </c>
      <c r="C1917" s="2" t="s">
        <v>55</v>
      </c>
      <c r="D1917" s="2" t="s">
        <v>44</v>
      </c>
      <c r="E1917" s="5">
        <v>-30151</v>
      </c>
      <c r="F1917" s="3" t="s">
        <v>1422</v>
      </c>
      <c r="G1917" s="3" t="s">
        <v>77</v>
      </c>
      <c r="H1917" s="2" t="s">
        <v>21</v>
      </c>
      <c r="I1917" s="2" t="s">
        <v>4713</v>
      </c>
      <c r="J1917" s="3" t="str">
        <f>HYPERLINK("https://www.boe.es/gazeta/dias/1817/06/12/pdfs/GMD-1817-70.pdf#page=8","Abrir facsímil")</f>
        <v>Abrir facsímil</v>
      </c>
      <c r="K1917" s="3" t="s">
        <v>23</v>
      </c>
    </row>
    <row r="1918" spans="1:11" ht="42" customHeight="1">
      <c r="A1918" s="2" t="s">
        <v>4664</v>
      </c>
      <c r="B1918" s="2" t="s">
        <v>4664</v>
      </c>
      <c r="C1918" s="2" t="s">
        <v>36</v>
      </c>
      <c r="D1918" s="2" t="s">
        <v>37</v>
      </c>
      <c r="E1918" s="5">
        <v>-30146</v>
      </c>
      <c r="F1918" s="3" t="s">
        <v>1005</v>
      </c>
      <c r="G1918" s="3" t="s">
        <v>72</v>
      </c>
      <c r="H1918" s="2" t="s">
        <v>21</v>
      </c>
      <c r="I1918" s="2" t="s">
        <v>4714</v>
      </c>
      <c r="J1918" s="3" t="str">
        <f>HYPERLINK("https://www.boe.es/gazeta/dias/1817/06/17/pdfs/GMD-1817-72.pdf#page=1","Abrir facsímil")</f>
        <v>Abrir facsímil</v>
      </c>
      <c r="K1918" s="3" t="s">
        <v>23</v>
      </c>
    </row>
    <row r="1919" spans="1:11" ht="42" customHeight="1">
      <c r="A1919" s="2" t="s">
        <v>4664</v>
      </c>
      <c r="B1919" s="2" t="s">
        <v>4664</v>
      </c>
      <c r="C1919" s="2" t="s">
        <v>55</v>
      </c>
      <c r="D1919" s="2" t="s">
        <v>44</v>
      </c>
      <c r="E1919" s="5">
        <v>-30142</v>
      </c>
      <c r="F1919" s="3" t="s">
        <v>286</v>
      </c>
      <c r="G1919" s="3" t="s">
        <v>497</v>
      </c>
      <c r="H1919" s="2" t="s">
        <v>21</v>
      </c>
      <c r="I1919" s="2" t="s">
        <v>4715</v>
      </c>
      <c r="J1919" s="3" t="str">
        <f>HYPERLINK("https://www.boe.es/gazeta/dias/1817/06/21/pdfs/GMD-1817-74.pdf#page=8","Abrir facsímil")</f>
        <v>Abrir facsímil</v>
      </c>
      <c r="K1919" s="3" t="s">
        <v>23</v>
      </c>
    </row>
    <row r="1920" spans="1:11" ht="42" customHeight="1">
      <c r="A1920" s="2" t="s">
        <v>4664</v>
      </c>
      <c r="B1920" s="2" t="s">
        <v>4664</v>
      </c>
      <c r="C1920" s="2" t="s">
        <v>55</v>
      </c>
      <c r="D1920" s="2" t="s">
        <v>44</v>
      </c>
      <c r="E1920" s="5">
        <v>-30135</v>
      </c>
      <c r="F1920" s="3" t="s">
        <v>239</v>
      </c>
      <c r="G1920" s="3" t="s">
        <v>240</v>
      </c>
      <c r="H1920" s="2" t="s">
        <v>21</v>
      </c>
      <c r="I1920" s="2" t="s">
        <v>4716</v>
      </c>
      <c r="J1920" s="3" t="str">
        <f>HYPERLINK("https://www.boe.es/gazeta/dias/1817/06/28/pdfs/GMD-1817-77.pdf#page=7","Abrir facsímil")</f>
        <v>Abrir facsímil</v>
      </c>
      <c r="K1920" s="3" t="s">
        <v>23</v>
      </c>
    </row>
    <row r="1921" spans="1:11" ht="42" customHeight="1">
      <c r="A1921" s="2" t="s">
        <v>4664</v>
      </c>
      <c r="B1921" s="2" t="s">
        <v>4664</v>
      </c>
      <c r="C1921" s="2" t="s">
        <v>36</v>
      </c>
      <c r="D1921" s="2" t="s">
        <v>37</v>
      </c>
      <c r="E1921" s="5">
        <v>-30128</v>
      </c>
      <c r="F1921" s="3" t="s">
        <v>761</v>
      </c>
      <c r="G1921" s="3" t="s">
        <v>973</v>
      </c>
      <c r="H1921" s="2" t="s">
        <v>21</v>
      </c>
      <c r="I1921" s="2" t="s">
        <v>4717</v>
      </c>
      <c r="J1921" s="3" t="str">
        <f>HYPERLINK("https://www.boe.es/gazeta/dias/1817/07/05/pdfs/GMD-1817-80.pdf#page=6","Abrir facsímil")</f>
        <v>Abrir facsímil</v>
      </c>
      <c r="K1921" s="3" t="s">
        <v>23</v>
      </c>
    </row>
    <row r="1922" spans="1:11" ht="42" customHeight="1">
      <c r="A1922" s="2" t="s">
        <v>4664</v>
      </c>
      <c r="B1922" s="2" t="s">
        <v>4664</v>
      </c>
      <c r="C1922" s="2" t="s">
        <v>97</v>
      </c>
      <c r="D1922" s="2" t="s">
        <v>44</v>
      </c>
      <c r="E1922" s="5">
        <v>-30114</v>
      </c>
      <c r="F1922" s="3" t="s">
        <v>500</v>
      </c>
      <c r="G1922" s="3" t="s">
        <v>72</v>
      </c>
      <c r="H1922" s="2" t="s">
        <v>21</v>
      </c>
      <c r="I1922" s="2" t="s">
        <v>4718</v>
      </c>
      <c r="J1922" s="3" t="str">
        <f>HYPERLINK("https://www.boe.es/gazeta/dias/1817/07/19/pdfs/GMD-1817-86.pdf#page=1","Abrir facsímil")</f>
        <v>Abrir facsímil</v>
      </c>
      <c r="K1922" s="3" t="s">
        <v>23</v>
      </c>
    </row>
    <row r="1923" spans="1:11" ht="42" customHeight="1">
      <c r="A1923" s="2" t="s">
        <v>4664</v>
      </c>
      <c r="B1923" s="2" t="s">
        <v>4664</v>
      </c>
      <c r="C1923" s="2" t="s">
        <v>43</v>
      </c>
      <c r="D1923" s="2" t="s">
        <v>44</v>
      </c>
      <c r="E1923" s="5">
        <v>-30114</v>
      </c>
      <c r="F1923" s="3" t="s">
        <v>500</v>
      </c>
      <c r="G1923" s="3" t="s">
        <v>20</v>
      </c>
      <c r="H1923" s="2" t="s">
        <v>21</v>
      </c>
      <c r="I1923" s="2" t="s">
        <v>4719</v>
      </c>
      <c r="J1923" s="3" t="str">
        <f>HYPERLINK("https://www.boe.es/gazeta/dias/1817/07/19/pdfs/GMD-1817-86.pdf#page=7","Abrir facsímil")</f>
        <v>Abrir facsímil</v>
      </c>
      <c r="K1923" s="3" t="s">
        <v>23</v>
      </c>
    </row>
    <row r="1924" spans="1:11" ht="42" customHeight="1">
      <c r="A1924" s="2" t="s">
        <v>4664</v>
      </c>
      <c r="B1924" s="2" t="s">
        <v>4664</v>
      </c>
      <c r="C1924" s="2" t="s">
        <v>43</v>
      </c>
      <c r="D1924" s="2" t="s">
        <v>44</v>
      </c>
      <c r="E1924" s="5">
        <v>-30072</v>
      </c>
      <c r="F1924" s="3" t="s">
        <v>442</v>
      </c>
      <c r="G1924" s="3" t="s">
        <v>161</v>
      </c>
      <c r="H1924" s="2" t="s">
        <v>21</v>
      </c>
      <c r="I1924" s="2" t="s">
        <v>4720</v>
      </c>
      <c r="J1924" s="3" t="str">
        <f>HYPERLINK("https://www.boe.es/gazeta/dias/1817/08/30/pdfs/GMD-1817-104.pdf#page=4","Abrir facsímil")</f>
        <v>Abrir facsímil</v>
      </c>
      <c r="K1924" s="3" t="s">
        <v>23</v>
      </c>
    </row>
    <row r="1925" spans="1:11" ht="42" customHeight="1">
      <c r="A1925" s="2" t="s">
        <v>4664</v>
      </c>
      <c r="B1925" s="2" t="s">
        <v>4664</v>
      </c>
      <c r="C1925" s="2" t="s">
        <v>43</v>
      </c>
      <c r="D1925" s="2" t="s">
        <v>44</v>
      </c>
      <c r="E1925" s="5">
        <v>-30065</v>
      </c>
      <c r="F1925" s="3" t="s">
        <v>201</v>
      </c>
      <c r="G1925" s="3" t="s">
        <v>144</v>
      </c>
      <c r="H1925" s="2" t="s">
        <v>21</v>
      </c>
      <c r="I1925" s="2" t="s">
        <v>4721</v>
      </c>
      <c r="J1925" s="3" t="str">
        <f>HYPERLINK("https://www.boe.es/gazeta/dias/1817/09/06/pdfs/GMD-1817-107.pdf#page=4","Abrir facsímil")</f>
        <v>Abrir facsímil</v>
      </c>
      <c r="K1925" s="3" t="s">
        <v>23</v>
      </c>
    </row>
    <row r="1926" spans="1:11" ht="42" customHeight="1">
      <c r="A1926" s="2" t="s">
        <v>4664</v>
      </c>
      <c r="B1926" s="2" t="s">
        <v>4664</v>
      </c>
      <c r="C1926" s="2" t="s">
        <v>43</v>
      </c>
      <c r="D1926" s="2" t="s">
        <v>44</v>
      </c>
      <c r="E1926" s="5">
        <v>-30060</v>
      </c>
      <c r="F1926" s="3" t="s">
        <v>446</v>
      </c>
      <c r="G1926" s="3" t="s">
        <v>20</v>
      </c>
      <c r="H1926" s="2" t="s">
        <v>21</v>
      </c>
      <c r="I1926" s="2" t="s">
        <v>4722</v>
      </c>
      <c r="J1926" s="3" t="str">
        <f>HYPERLINK("https://www.boe.es/gazeta/dias/1817/09/11/pdfs/GMD-1817-109.pdf#page=7","Abrir facsímil")</f>
        <v>Abrir facsímil</v>
      </c>
      <c r="K1926" s="3" t="s">
        <v>23</v>
      </c>
    </row>
    <row r="1927" spans="1:11" ht="42" customHeight="1">
      <c r="A1927" s="2" t="s">
        <v>4664</v>
      </c>
      <c r="B1927" s="2" t="s">
        <v>4664</v>
      </c>
      <c r="C1927" s="2" t="s">
        <v>510</v>
      </c>
      <c r="D1927" s="2" t="s">
        <v>44</v>
      </c>
      <c r="E1927" s="5">
        <v>-30055</v>
      </c>
      <c r="F1927" s="3" t="s">
        <v>71</v>
      </c>
      <c r="G1927" s="3" t="s">
        <v>57</v>
      </c>
      <c r="H1927" s="2" t="s">
        <v>21</v>
      </c>
      <c r="I1927" s="2" t="s">
        <v>4723</v>
      </c>
      <c r="J1927" s="3" t="str">
        <f>HYPERLINK("https://www.boe.es/gazeta/dias/1817/09/16/pdfs/GMD-1817-111.pdf#page=6","Abrir facsímil")</f>
        <v>Abrir facsímil</v>
      </c>
      <c r="K1927" s="3" t="s">
        <v>23</v>
      </c>
    </row>
    <row r="1928" spans="1:11" ht="42" customHeight="1">
      <c r="A1928" s="2" t="s">
        <v>4664</v>
      </c>
      <c r="B1928" s="2" t="s">
        <v>4664</v>
      </c>
      <c r="C1928" s="2" t="s">
        <v>43</v>
      </c>
      <c r="D1928" s="2" t="s">
        <v>44</v>
      </c>
      <c r="E1928" s="5">
        <v>-30032</v>
      </c>
      <c r="F1928" s="3" t="s">
        <v>337</v>
      </c>
      <c r="G1928" s="3" t="s">
        <v>144</v>
      </c>
      <c r="H1928" s="2" t="s">
        <v>21</v>
      </c>
      <c r="I1928" s="2" t="s">
        <v>4724</v>
      </c>
      <c r="J1928" s="3" t="str">
        <f>HYPERLINK("https://www.boe.es/gazeta/dias/1817/10/09/pdfs/GMD-1817-121.pdf#page=4","Abrir facsímil")</f>
        <v>Abrir facsímil</v>
      </c>
      <c r="K1928" s="3" t="s">
        <v>23</v>
      </c>
    </row>
    <row r="1929" spans="1:11" ht="42" customHeight="1">
      <c r="A1929" s="2" t="s">
        <v>4664</v>
      </c>
      <c r="B1929" s="2" t="s">
        <v>4664</v>
      </c>
      <c r="C1929" s="2" t="s">
        <v>43</v>
      </c>
      <c r="D1929" s="2" t="s">
        <v>44</v>
      </c>
      <c r="E1929" s="5">
        <v>-30030</v>
      </c>
      <c r="F1929" s="3" t="s">
        <v>508</v>
      </c>
      <c r="G1929" s="3" t="s">
        <v>4725</v>
      </c>
      <c r="H1929" s="2" t="s">
        <v>21</v>
      </c>
      <c r="I1929" s="2" t="s">
        <v>4726</v>
      </c>
      <c r="J1929" s="3" t="str">
        <f>HYPERLINK("https://www.boe.es/gazeta/dias/1817/10/11/pdfs/GMD-1817-122.pdf#page=7","Abrir facsímil")</f>
        <v>Abrir facsímil</v>
      </c>
      <c r="K1929" s="3" t="s">
        <v>23</v>
      </c>
    </row>
    <row r="1930" spans="1:11" ht="42" customHeight="1">
      <c r="A1930" s="2" t="s">
        <v>4664</v>
      </c>
      <c r="B1930" s="2" t="s">
        <v>4664</v>
      </c>
      <c r="C1930" s="2" t="s">
        <v>55</v>
      </c>
      <c r="D1930" s="2" t="s">
        <v>44</v>
      </c>
      <c r="E1930" s="5">
        <v>-30025</v>
      </c>
      <c r="F1930" s="3" t="s">
        <v>458</v>
      </c>
      <c r="G1930" s="3" t="s">
        <v>57</v>
      </c>
      <c r="H1930" s="2" t="s">
        <v>21</v>
      </c>
      <c r="I1930" s="2" t="s">
        <v>4727</v>
      </c>
      <c r="J1930" s="3" t="str">
        <f>HYPERLINK("https://www.boe.es/gazeta/dias/1817/10/16/pdfs/GMD-1817-124.pdf#page=6","Abrir facsímil")</f>
        <v>Abrir facsímil</v>
      </c>
      <c r="K1930" s="3" t="s">
        <v>23</v>
      </c>
    </row>
    <row r="1931" spans="1:11" ht="42" customHeight="1">
      <c r="A1931" s="2" t="s">
        <v>4664</v>
      </c>
      <c r="B1931" s="2" t="s">
        <v>4664</v>
      </c>
      <c r="C1931" s="2" t="s">
        <v>36</v>
      </c>
      <c r="D1931" s="2" t="s">
        <v>37</v>
      </c>
      <c r="E1931" s="5">
        <v>-30004</v>
      </c>
      <c r="F1931" s="3" t="s">
        <v>329</v>
      </c>
      <c r="G1931" s="3" t="s">
        <v>57</v>
      </c>
      <c r="H1931" s="2" t="s">
        <v>21</v>
      </c>
      <c r="I1931" s="2" t="s">
        <v>4728</v>
      </c>
      <c r="J1931" s="3" t="str">
        <f>HYPERLINK("https://www.boe.es/gazeta/dias/1817/11/06/pdfs/GMD-1817-133.pdf#page=6","Abrir facsímil")</f>
        <v>Abrir facsímil</v>
      </c>
      <c r="K1931" s="3" t="s">
        <v>23</v>
      </c>
    </row>
    <row r="1932" spans="1:11" ht="42" customHeight="1">
      <c r="A1932" s="2" t="s">
        <v>4664</v>
      </c>
      <c r="B1932" s="2" t="s">
        <v>4664</v>
      </c>
      <c r="C1932" s="2" t="s">
        <v>43</v>
      </c>
      <c r="D1932" s="2" t="s">
        <v>44</v>
      </c>
      <c r="E1932" s="5">
        <v>-29992</v>
      </c>
      <c r="F1932" s="3" t="s">
        <v>50</v>
      </c>
      <c r="G1932" s="3" t="s">
        <v>1781</v>
      </c>
      <c r="H1932" s="2" t="s">
        <v>21</v>
      </c>
      <c r="I1932" s="2" t="s">
        <v>4729</v>
      </c>
      <c r="J1932" s="3" t="str">
        <f>HYPERLINK("https://www.boe.es/gazeta/dias/1817/11/18/pdfs/GMD-1817-138.pdf#page=6","Abrir facsímil")</f>
        <v>Abrir facsímil</v>
      </c>
      <c r="K1932" s="3" t="s">
        <v>23</v>
      </c>
    </row>
    <row r="1933" spans="1:11" ht="42" customHeight="1">
      <c r="A1933" s="2" t="s">
        <v>4664</v>
      </c>
      <c r="B1933" s="2" t="s">
        <v>4664</v>
      </c>
      <c r="C1933" s="2" t="s">
        <v>36</v>
      </c>
      <c r="D1933" s="2" t="s">
        <v>37</v>
      </c>
      <c r="E1933" s="5">
        <v>-29990</v>
      </c>
      <c r="F1933" s="3" t="s">
        <v>542</v>
      </c>
      <c r="G1933" s="3" t="s">
        <v>144</v>
      </c>
      <c r="H1933" s="2" t="s">
        <v>21</v>
      </c>
      <c r="I1933" s="2" t="s">
        <v>4730</v>
      </c>
      <c r="J1933" s="3" t="str">
        <f>HYPERLINK("https://www.boe.es/gazeta/dias/1817/11/20/pdfs/GMD-1817-139.pdf#page=4","Abrir facsímil")</f>
        <v>Abrir facsímil</v>
      </c>
      <c r="K1933" s="3" t="s">
        <v>23</v>
      </c>
    </row>
    <row r="1934" spans="1:11" ht="42" customHeight="1">
      <c r="A1934" s="2" t="s">
        <v>4664</v>
      </c>
      <c r="B1934" s="2" t="s">
        <v>4664</v>
      </c>
      <c r="C1934" s="2" t="s">
        <v>55</v>
      </c>
      <c r="D1934" s="2" t="s">
        <v>44</v>
      </c>
      <c r="E1934" s="5">
        <v>-29990</v>
      </c>
      <c r="F1934" s="3" t="s">
        <v>542</v>
      </c>
      <c r="G1934" s="3" t="s">
        <v>20</v>
      </c>
      <c r="H1934" s="2" t="s">
        <v>21</v>
      </c>
      <c r="I1934" s="2" t="s">
        <v>4731</v>
      </c>
      <c r="J1934" s="3" t="str">
        <f>HYPERLINK("https://www.boe.es/gazeta/dias/1817/11/20/pdfs/GMD-1817-139.pdf#page=7","Abrir facsímil")</f>
        <v>Abrir facsímil</v>
      </c>
      <c r="K1934" s="3" t="s">
        <v>23</v>
      </c>
    </row>
    <row r="1935" spans="1:11" ht="42" customHeight="1">
      <c r="A1935" s="2" t="s">
        <v>4664</v>
      </c>
      <c r="B1935" s="2" t="s">
        <v>4664</v>
      </c>
      <c r="C1935" s="2" t="s">
        <v>17</v>
      </c>
      <c r="D1935" s="2" t="s">
        <v>18</v>
      </c>
      <c r="E1935" s="5">
        <v>-29964</v>
      </c>
      <c r="F1935" s="3" t="s">
        <v>482</v>
      </c>
      <c r="G1935" s="3" t="s">
        <v>77</v>
      </c>
      <c r="H1935" s="2" t="s">
        <v>21</v>
      </c>
      <c r="I1935" s="2" t="s">
        <v>4732</v>
      </c>
      <c r="J1935" s="3" t="str">
        <f>HYPERLINK("https://www.boe.es/gazeta/dias/1817/12/16/pdfs/GMD-1817-150.pdf#page=8","Abrir facsímil")</f>
        <v>Abrir facsímil</v>
      </c>
      <c r="K1935" s="3" t="s">
        <v>23</v>
      </c>
    </row>
    <row r="1936" spans="1:11" ht="42" customHeight="1">
      <c r="A1936" s="2" t="s">
        <v>4664</v>
      </c>
      <c r="B1936" s="2" t="s">
        <v>4664</v>
      </c>
      <c r="C1936" s="2" t="s">
        <v>17</v>
      </c>
      <c r="D1936" s="2" t="s">
        <v>18</v>
      </c>
      <c r="E1936" s="5">
        <v>-29953</v>
      </c>
      <c r="F1936" s="3" t="s">
        <v>793</v>
      </c>
      <c r="G1936" s="3" t="s">
        <v>794</v>
      </c>
      <c r="H1936" s="2" t="s">
        <v>21</v>
      </c>
      <c r="I1936" s="2" t="s">
        <v>4733</v>
      </c>
      <c r="J1936" s="3" t="str">
        <f>HYPERLINK("https://www.boe.es/gazeta/dias/1817/12/27/pdfs/GMD-1817-155.pdf#page=8","Abrir facsímil")</f>
        <v>Abrir facsímil</v>
      </c>
      <c r="K1936" s="3" t="s">
        <v>23</v>
      </c>
    </row>
    <row r="1937" spans="1:11" ht="42" customHeight="1">
      <c r="A1937" s="2" t="s">
        <v>4664</v>
      </c>
      <c r="B1937" s="2" t="s">
        <v>4664</v>
      </c>
      <c r="C1937" s="2" t="s">
        <v>17</v>
      </c>
      <c r="D1937" s="2" t="s">
        <v>18</v>
      </c>
      <c r="E1937" s="5">
        <v>-29953</v>
      </c>
      <c r="F1937" s="3" t="s">
        <v>793</v>
      </c>
      <c r="G1937" s="3" t="s">
        <v>57</v>
      </c>
      <c r="H1937" s="2" t="s">
        <v>21</v>
      </c>
      <c r="I1937" s="2" t="s">
        <v>4734</v>
      </c>
      <c r="J1937" s="3" t="str">
        <f>HYPERLINK("https://www.boe.es/gazeta/dias/1817/12/27/pdfs/GMD-1817-155.pdf#page=6","Abrir facsímil")</f>
        <v>Abrir facsímil</v>
      </c>
      <c r="K1937" s="3" t="s">
        <v>23</v>
      </c>
    </row>
    <row r="1938" spans="1:11" ht="42" customHeight="1">
      <c r="A1938" s="2" t="s">
        <v>4735</v>
      </c>
      <c r="B1938" s="2" t="s">
        <v>4735</v>
      </c>
      <c r="C1938" s="2" t="s">
        <v>17</v>
      </c>
      <c r="D1938" s="2" t="s">
        <v>18</v>
      </c>
      <c r="E1938" s="5">
        <v>-30212</v>
      </c>
      <c r="F1938" s="3" t="s">
        <v>745</v>
      </c>
      <c r="G1938" s="3" t="s">
        <v>57</v>
      </c>
      <c r="H1938" s="2" t="s">
        <v>21</v>
      </c>
      <c r="I1938" s="2" t="s">
        <v>4736</v>
      </c>
      <c r="J1938" s="3" t="str">
        <f>HYPERLINK("https://www.boe.es/gazeta/dias/1817/04/12/pdfs/GMD-1817-44.pdf#page=6","Abrir facsímil")</f>
        <v>Abrir facsímil</v>
      </c>
      <c r="K1938" s="3" t="s">
        <v>23</v>
      </c>
    </row>
    <row r="1939" spans="1:11" ht="42" customHeight="1">
      <c r="A1939" s="2" t="s">
        <v>4737</v>
      </c>
      <c r="B1939" s="2" t="s">
        <v>4737</v>
      </c>
      <c r="C1939" s="2" t="s">
        <v>43</v>
      </c>
      <c r="D1939" s="2" t="s">
        <v>44</v>
      </c>
      <c r="E1939" s="5">
        <v>-30282</v>
      </c>
      <c r="F1939" s="3" t="s">
        <v>1049</v>
      </c>
      <c r="G1939" s="3" t="s">
        <v>144</v>
      </c>
      <c r="H1939" s="2" t="s">
        <v>21</v>
      </c>
      <c r="I1939" s="2" t="s">
        <v>4738</v>
      </c>
      <c r="J1939" s="3" t="str">
        <f>HYPERLINK("https://www.boe.es/gazeta/dias/1817/02/01/pdfs/GMD-1817-14.pdf#page=4","Abrir facsímil")</f>
        <v>Abrir facsímil</v>
      </c>
      <c r="K1939" s="3" t="s">
        <v>23</v>
      </c>
    </row>
    <row r="1940" spans="1:11" ht="42" customHeight="1">
      <c r="A1940" s="2" t="s">
        <v>4739</v>
      </c>
      <c r="B1940" s="2" t="s">
        <v>4739</v>
      </c>
      <c r="C1940" s="2" t="s">
        <v>36</v>
      </c>
      <c r="D1940" s="2" t="s">
        <v>37</v>
      </c>
      <c r="E1940" s="5">
        <v>-30095</v>
      </c>
      <c r="F1940" s="3" t="s">
        <v>365</v>
      </c>
      <c r="G1940" s="3" t="s">
        <v>144</v>
      </c>
      <c r="H1940" s="2" t="s">
        <v>21</v>
      </c>
      <c r="I1940" s="2" t="s">
        <v>4740</v>
      </c>
      <c r="J1940" s="3" t="str">
        <f>HYPERLINK("https://www.boe.es/gazeta/dias/1817/08/07/pdfs/GMD-1817-94.pdf#page=4","Abrir facsímil")</f>
        <v>Abrir facsímil</v>
      </c>
      <c r="K1940" s="3" t="s">
        <v>23</v>
      </c>
    </row>
    <row r="1941" spans="1:11" ht="42" customHeight="1">
      <c r="A1941" s="2" t="s">
        <v>4741</v>
      </c>
      <c r="B1941" s="2" t="s">
        <v>4741</v>
      </c>
      <c r="C1941" s="2" t="s">
        <v>43</v>
      </c>
      <c r="D1941" s="2" t="s">
        <v>44</v>
      </c>
      <c r="E1941" s="5">
        <v>-30303</v>
      </c>
      <c r="F1941" s="3" t="s">
        <v>407</v>
      </c>
      <c r="G1941" s="3" t="s">
        <v>20</v>
      </c>
      <c r="H1941" s="2" t="s">
        <v>21</v>
      </c>
      <c r="I1941" s="2" t="s">
        <v>4742</v>
      </c>
      <c r="J1941" s="3" t="str">
        <f>HYPERLINK("https://www.boe.es/gazeta/dias/1817/01/11/pdfs/GMD-1817-5.pdf#page=7","Abrir facsímil")</f>
        <v>Abrir facsímil</v>
      </c>
      <c r="K1941" s="3" t="s">
        <v>23</v>
      </c>
    </row>
    <row r="1942" spans="1:11" ht="42" customHeight="1">
      <c r="A1942" s="2" t="s">
        <v>4743</v>
      </c>
      <c r="B1942" s="2" t="s">
        <v>4744</v>
      </c>
      <c r="C1942" s="2" t="s">
        <v>36</v>
      </c>
      <c r="D1942" s="2" t="s">
        <v>37</v>
      </c>
      <c r="E1942" s="5">
        <v>-30011</v>
      </c>
      <c r="F1942" s="3" t="s">
        <v>313</v>
      </c>
      <c r="G1942" s="3" t="s">
        <v>77</v>
      </c>
      <c r="H1942" s="2" t="s">
        <v>21</v>
      </c>
      <c r="I1942" s="2" t="s">
        <v>4745</v>
      </c>
      <c r="J1942" s="3" t="str">
        <f>HYPERLINK("https://www.boe.es/gazeta/dias/1817/10/30/pdfs/GMD-1817-130.pdf#page=8","Abrir facsímil")</f>
        <v>Abrir facsímil</v>
      </c>
      <c r="K1942" s="3" t="s">
        <v>23</v>
      </c>
    </row>
    <row r="1943" spans="1:11" ht="42" customHeight="1">
      <c r="A1943" s="2" t="s">
        <v>4746</v>
      </c>
      <c r="B1943" s="2" t="s">
        <v>4746</v>
      </c>
      <c r="C1943" s="2" t="s">
        <v>17</v>
      </c>
      <c r="D1943" s="2" t="s">
        <v>18</v>
      </c>
      <c r="E1943" s="5">
        <v>-30235</v>
      </c>
      <c r="F1943" s="3" t="s">
        <v>398</v>
      </c>
      <c r="G1943" s="3" t="s">
        <v>144</v>
      </c>
      <c r="H1943" s="2" t="s">
        <v>21</v>
      </c>
      <c r="I1943" s="2" t="s">
        <v>4747</v>
      </c>
      <c r="J1943" s="3" t="str">
        <f>HYPERLINK("https://www.boe.es/gazeta/dias/1817/03/20/pdfs/GMD-1817-34.pdf#page=4","Abrir facsímil")</f>
        <v>Abrir facsímil</v>
      </c>
      <c r="K1943" s="3" t="s">
        <v>23</v>
      </c>
    </row>
    <row r="1944" spans="1:11" ht="42" customHeight="1">
      <c r="A1944" s="2" t="s">
        <v>4748</v>
      </c>
      <c r="B1944" s="2" t="s">
        <v>4748</v>
      </c>
      <c r="C1944" s="2" t="s">
        <v>36</v>
      </c>
      <c r="D1944" s="2" t="s">
        <v>37</v>
      </c>
      <c r="E1944" s="5">
        <v>-30030</v>
      </c>
      <c r="F1944" s="3" t="s">
        <v>508</v>
      </c>
      <c r="G1944" s="3" t="s">
        <v>551</v>
      </c>
      <c r="H1944" s="2" t="s">
        <v>21</v>
      </c>
      <c r="I1944" s="2" t="s">
        <v>4749</v>
      </c>
      <c r="J1944" s="3" t="str">
        <f>HYPERLINK("https://www.boe.es/gazeta/dias/1817/10/11/pdfs/GMD-1817-122.pdf#page=3","Abrir facsímil")</f>
        <v>Abrir facsímil</v>
      </c>
      <c r="K1944" s="3" t="s">
        <v>23</v>
      </c>
    </row>
    <row r="1945" spans="1:11" ht="42" customHeight="1">
      <c r="A1945" s="2" t="s">
        <v>4750</v>
      </c>
      <c r="B1945" s="2" t="s">
        <v>4751</v>
      </c>
      <c r="C1945" s="2" t="s">
        <v>36</v>
      </c>
      <c r="D1945" s="2" t="s">
        <v>37</v>
      </c>
      <c r="E1945" s="5">
        <v>-30300</v>
      </c>
      <c r="F1945" s="3" t="s">
        <v>164</v>
      </c>
      <c r="G1945" s="3" t="s">
        <v>57</v>
      </c>
      <c r="H1945" s="2" t="s">
        <v>21</v>
      </c>
      <c r="I1945" s="2" t="s">
        <v>4752</v>
      </c>
      <c r="J1945" s="3" t="str">
        <f>HYPERLINK("https://www.boe.es/gazeta/dias/1817/01/14/pdfs/GMD-1817-6.pdf#page=6","Abrir facsímil")</f>
        <v>Abrir facsímil</v>
      </c>
      <c r="K1945" s="3" t="s">
        <v>23</v>
      </c>
    </row>
    <row r="1946" spans="1:11" ht="42" customHeight="1">
      <c r="A1946" s="2" t="s">
        <v>4753</v>
      </c>
      <c r="B1946" s="2" t="s">
        <v>4754</v>
      </c>
      <c r="C1946" s="2" t="s">
        <v>138</v>
      </c>
      <c r="D1946" s="2" t="s">
        <v>44</v>
      </c>
      <c r="E1946" s="5">
        <v>-30170</v>
      </c>
      <c r="F1946" s="3" t="s">
        <v>98</v>
      </c>
      <c r="G1946" s="3" t="s">
        <v>20</v>
      </c>
      <c r="H1946" s="2" t="s">
        <v>21</v>
      </c>
      <c r="I1946" s="2" t="s">
        <v>4755</v>
      </c>
      <c r="J1946" s="3" t="str">
        <f>HYPERLINK("https://www.boe.es/gazeta/dias/1817/05/24/pdfs/GMD-1817-62.pdf#page=7","Abrir facsímil")</f>
        <v>Abrir facsímil</v>
      </c>
      <c r="K1946" s="3" t="s">
        <v>23</v>
      </c>
    </row>
    <row r="1947" spans="1:11" ht="42" customHeight="1">
      <c r="A1947" s="2" t="s">
        <v>4756</v>
      </c>
      <c r="B1947" s="2" t="s">
        <v>4756</v>
      </c>
      <c r="C1947" s="2" t="s">
        <v>43</v>
      </c>
      <c r="D1947" s="2" t="s">
        <v>44</v>
      </c>
      <c r="E1947" s="5">
        <v>-30310</v>
      </c>
      <c r="F1947" s="3" t="s">
        <v>93</v>
      </c>
      <c r="G1947" s="3" t="s">
        <v>57</v>
      </c>
      <c r="H1947" s="2" t="s">
        <v>21</v>
      </c>
      <c r="I1947" s="2" t="s">
        <v>4757</v>
      </c>
      <c r="J1947" s="3" t="str">
        <f>HYPERLINK("https://www.boe.es/gazeta/dias/1817/01/04/pdfs/GMD-1817-2.pdf#page=6","Abrir facsímil")</f>
        <v>Abrir facsímil</v>
      </c>
      <c r="K1947" s="3" t="s">
        <v>23</v>
      </c>
    </row>
    <row r="1948" spans="1:11" ht="42" customHeight="1">
      <c r="A1948" s="2" t="s">
        <v>4758</v>
      </c>
      <c r="B1948" s="2" t="s">
        <v>4758</v>
      </c>
      <c r="C1948" s="2" t="s">
        <v>17</v>
      </c>
      <c r="D1948" s="2" t="s">
        <v>18</v>
      </c>
      <c r="E1948" s="5">
        <v>-30268</v>
      </c>
      <c r="F1948" s="3" t="s">
        <v>1160</v>
      </c>
      <c r="G1948" s="3" t="s">
        <v>57</v>
      </c>
      <c r="H1948" s="2" t="s">
        <v>21</v>
      </c>
      <c r="I1948" s="2" t="s">
        <v>4759</v>
      </c>
      <c r="J1948" s="3" t="str">
        <f>HYPERLINK("https://www.boe.es/gazeta/dias/1817/02/15/pdfs/GMD-1817-20.pdf#page=6","Abrir facsímil")</f>
        <v>Abrir facsímil</v>
      </c>
      <c r="K1948" s="3" t="s">
        <v>23</v>
      </c>
    </row>
    <row r="1949" spans="1:11" ht="42" customHeight="1">
      <c r="A1949" s="2" t="s">
        <v>4758</v>
      </c>
      <c r="B1949" s="2" t="s">
        <v>4758</v>
      </c>
      <c r="C1949" s="2" t="s">
        <v>36</v>
      </c>
      <c r="D1949" s="2" t="s">
        <v>37</v>
      </c>
      <c r="E1949" s="5">
        <v>-30011</v>
      </c>
      <c r="F1949" s="3" t="s">
        <v>313</v>
      </c>
      <c r="G1949" s="3" t="s">
        <v>1736</v>
      </c>
      <c r="H1949" s="2" t="s">
        <v>21</v>
      </c>
      <c r="I1949" s="2" t="s">
        <v>4760</v>
      </c>
      <c r="J1949" s="3" t="str">
        <f>HYPERLINK("https://www.boe.es/gazeta/dias/1817/10/30/pdfs/GMD-1817-130.pdf#page=11","Abrir facsímil")</f>
        <v>Abrir facsímil</v>
      </c>
      <c r="K1949" s="3" t="s">
        <v>23</v>
      </c>
    </row>
    <row r="1950" spans="1:11" ht="42" customHeight="1">
      <c r="A1950" s="2" t="s">
        <v>4758</v>
      </c>
      <c r="B1950" s="2" t="s">
        <v>4758</v>
      </c>
      <c r="C1950" s="2" t="s">
        <v>36</v>
      </c>
      <c r="D1950" s="2" t="s">
        <v>37</v>
      </c>
      <c r="E1950" s="5">
        <v>-30011</v>
      </c>
      <c r="F1950" s="3" t="s">
        <v>313</v>
      </c>
      <c r="G1950" s="3" t="s">
        <v>314</v>
      </c>
      <c r="H1950" s="2" t="s">
        <v>21</v>
      </c>
      <c r="I1950" s="2" t="s">
        <v>4761</v>
      </c>
      <c r="J1950" s="3" t="str">
        <f>HYPERLINK("https://www.boe.es/gazeta/dias/1817/10/30/pdfs/GMD-1817-130.pdf#page=10","Abrir facsímil")</f>
        <v>Abrir facsímil</v>
      </c>
      <c r="K1950" s="3" t="s">
        <v>23</v>
      </c>
    </row>
    <row r="1951" spans="1:11" ht="42" customHeight="1">
      <c r="A1951" s="2" t="s">
        <v>4758</v>
      </c>
      <c r="B1951" s="2" t="s">
        <v>4758</v>
      </c>
      <c r="C1951" s="2" t="s">
        <v>36</v>
      </c>
      <c r="D1951" s="2" t="s">
        <v>37</v>
      </c>
      <c r="E1951" s="5">
        <v>-30011</v>
      </c>
      <c r="F1951" s="3" t="s">
        <v>313</v>
      </c>
      <c r="G1951" s="3" t="s">
        <v>887</v>
      </c>
      <c r="H1951" s="2" t="s">
        <v>21</v>
      </c>
      <c r="I1951" s="2" t="s">
        <v>4762</v>
      </c>
      <c r="J1951" s="3" t="str">
        <f>HYPERLINK("https://www.boe.es/gazeta/dias/1817/10/30/pdfs/GMD-1817-130.pdf#page=9","Abrir facsímil")</f>
        <v>Abrir facsímil</v>
      </c>
      <c r="K1951" s="3" t="s">
        <v>23</v>
      </c>
    </row>
    <row r="1952" spans="1:11" ht="42" customHeight="1">
      <c r="A1952" s="2" t="s">
        <v>4758</v>
      </c>
      <c r="B1952" s="2" t="s">
        <v>4758</v>
      </c>
      <c r="C1952" s="2" t="s">
        <v>43</v>
      </c>
      <c r="D1952" s="2" t="s">
        <v>44</v>
      </c>
      <c r="E1952" s="5">
        <v>-30006</v>
      </c>
      <c r="F1952" s="3" t="s">
        <v>210</v>
      </c>
      <c r="G1952" s="3" t="s">
        <v>3683</v>
      </c>
      <c r="H1952" s="2" t="s">
        <v>21</v>
      </c>
      <c r="I1952" s="2" t="s">
        <v>4763</v>
      </c>
      <c r="J1952" s="3" t="str">
        <f>HYPERLINK("https://www.boe.es/gazeta/dias/1817/11/04/pdfs/GMD-1817-132.pdf#page=6","Abrir facsímil")</f>
        <v>Abrir facsímil</v>
      </c>
      <c r="K1952" s="3" t="s">
        <v>23</v>
      </c>
    </row>
    <row r="1953" spans="1:11" ht="42" customHeight="1">
      <c r="A1953" s="2" t="s">
        <v>4764</v>
      </c>
      <c r="B1953" s="2" t="s">
        <v>4765</v>
      </c>
      <c r="C1953" s="2" t="s">
        <v>43</v>
      </c>
      <c r="D1953" s="2" t="s">
        <v>44</v>
      </c>
      <c r="E1953" s="5">
        <v>-30303</v>
      </c>
      <c r="F1953" s="3" t="s">
        <v>407</v>
      </c>
      <c r="G1953" s="3" t="s">
        <v>57</v>
      </c>
      <c r="H1953" s="2" t="s">
        <v>21</v>
      </c>
      <c r="I1953" s="2" t="s">
        <v>4766</v>
      </c>
      <c r="J1953" s="3" t="str">
        <f>HYPERLINK("https://www.boe.es/gazeta/dias/1817/01/11/pdfs/GMD-1817-5.pdf#page=6","Abrir facsímil")</f>
        <v>Abrir facsímil</v>
      </c>
      <c r="K1953" s="3" t="s">
        <v>23</v>
      </c>
    </row>
    <row r="1954" spans="1:11" ht="42" customHeight="1">
      <c r="A1954" s="2" t="s">
        <v>4764</v>
      </c>
      <c r="B1954" s="2" t="s">
        <v>4765</v>
      </c>
      <c r="C1954" s="2" t="s">
        <v>17</v>
      </c>
      <c r="D1954" s="2" t="s">
        <v>18</v>
      </c>
      <c r="E1954" s="5">
        <v>-30296</v>
      </c>
      <c r="F1954" s="3" t="s">
        <v>357</v>
      </c>
      <c r="G1954" s="3" t="s">
        <v>112</v>
      </c>
      <c r="H1954" s="2" t="s">
        <v>21</v>
      </c>
      <c r="I1954" s="2" t="s">
        <v>4767</v>
      </c>
      <c r="J1954" s="3" t="str">
        <f>HYPERLINK("https://www.boe.es/gazeta/dias/1817/01/18/pdfs/GMD-1817-8.pdf#page=11","Abrir facsímil")</f>
        <v>Abrir facsímil</v>
      </c>
      <c r="K1954" s="3" t="s">
        <v>23</v>
      </c>
    </row>
    <row r="1955" spans="1:11" ht="42" customHeight="1">
      <c r="A1955" s="2" t="s">
        <v>4764</v>
      </c>
      <c r="B1955" s="2" t="s">
        <v>4765</v>
      </c>
      <c r="C1955" s="2" t="s">
        <v>97</v>
      </c>
      <c r="D1955" s="2" t="s">
        <v>44</v>
      </c>
      <c r="E1955" s="5">
        <v>-30286</v>
      </c>
      <c r="F1955" s="3" t="s">
        <v>354</v>
      </c>
      <c r="G1955" s="3" t="s">
        <v>57</v>
      </c>
      <c r="H1955" s="2" t="s">
        <v>21</v>
      </c>
      <c r="I1955" s="2" t="s">
        <v>4768</v>
      </c>
      <c r="J1955" s="3" t="str">
        <f>HYPERLINK("https://www.boe.es/gazeta/dias/1817/01/28/pdfs/GMD-1817-12.pdf#page=6","Abrir facsímil")</f>
        <v>Abrir facsímil</v>
      </c>
      <c r="K1955" s="3" t="s">
        <v>23</v>
      </c>
    </row>
    <row r="1956" spans="1:11" ht="42" customHeight="1">
      <c r="A1956" s="2" t="s">
        <v>4764</v>
      </c>
      <c r="B1956" s="2" t="s">
        <v>4765</v>
      </c>
      <c r="C1956" s="2" t="s">
        <v>138</v>
      </c>
      <c r="D1956" s="2" t="s">
        <v>44</v>
      </c>
      <c r="E1956" s="5">
        <v>-30254</v>
      </c>
      <c r="F1956" s="3" t="s">
        <v>124</v>
      </c>
      <c r="G1956" s="3" t="s">
        <v>57</v>
      </c>
      <c r="H1956" s="2" t="s">
        <v>21</v>
      </c>
      <c r="I1956" s="2" t="s">
        <v>4769</v>
      </c>
      <c r="J1956" s="3" t="str">
        <f>HYPERLINK("https://www.boe.es/gazeta/dias/1817/03/01/pdfs/GMD-1817-26.pdf#page=6","Abrir facsímil")</f>
        <v>Abrir facsímil</v>
      </c>
      <c r="K1956" s="3" t="s">
        <v>23</v>
      </c>
    </row>
    <row r="1957" spans="1:11" ht="42" customHeight="1">
      <c r="A1957" s="2" t="s">
        <v>4764</v>
      </c>
      <c r="B1957" s="2" t="s">
        <v>4765</v>
      </c>
      <c r="C1957" s="2" t="s">
        <v>17</v>
      </c>
      <c r="D1957" s="2" t="s">
        <v>18</v>
      </c>
      <c r="E1957" s="5">
        <v>-30195</v>
      </c>
      <c r="F1957" s="3" t="s">
        <v>1163</v>
      </c>
      <c r="G1957" s="3" t="s">
        <v>144</v>
      </c>
      <c r="H1957" s="2" t="s">
        <v>21</v>
      </c>
      <c r="I1957" s="2" t="s">
        <v>4770</v>
      </c>
      <c r="J1957" s="3" t="str">
        <f>HYPERLINK("https://www.boe.es/gazeta/dias/1817/04/29/pdfs/GMD-1817-51.pdf#page=4","Abrir facsímil")</f>
        <v>Abrir facsímil</v>
      </c>
      <c r="K1957" s="3" t="s">
        <v>23</v>
      </c>
    </row>
    <row r="1958" spans="1:11" ht="42" customHeight="1">
      <c r="A1958" s="2" t="s">
        <v>4764</v>
      </c>
      <c r="B1958" s="2" t="s">
        <v>4765</v>
      </c>
      <c r="C1958" s="2" t="s">
        <v>36</v>
      </c>
      <c r="D1958" s="2" t="s">
        <v>37</v>
      </c>
      <c r="E1958" s="5">
        <v>-29983</v>
      </c>
      <c r="F1958" s="3" t="s">
        <v>148</v>
      </c>
      <c r="G1958" s="3" t="s">
        <v>57</v>
      </c>
      <c r="H1958" s="2" t="s">
        <v>21</v>
      </c>
      <c r="I1958" s="2" t="s">
        <v>4771</v>
      </c>
      <c r="J1958" s="3" t="str">
        <f>HYPERLINK("https://www.boe.es/gazeta/dias/1817/11/27/pdfs/GMD-1817-142.pdf#page=6","Abrir facsímil")</f>
        <v>Abrir facsímil</v>
      </c>
      <c r="K1958" s="3" t="s">
        <v>23</v>
      </c>
    </row>
    <row r="1959" spans="1:11" ht="42" customHeight="1">
      <c r="A1959" s="2" t="s">
        <v>4764</v>
      </c>
      <c r="B1959" s="2" t="s">
        <v>4765</v>
      </c>
      <c r="C1959" s="2" t="s">
        <v>49</v>
      </c>
      <c r="D1959" s="2" t="s">
        <v>44</v>
      </c>
      <c r="E1959" s="5">
        <v>-29962</v>
      </c>
      <c r="F1959" s="3" t="s">
        <v>485</v>
      </c>
      <c r="G1959" s="3" t="s">
        <v>39</v>
      </c>
      <c r="H1959" s="2" t="s">
        <v>21</v>
      </c>
      <c r="I1959" s="2" t="s">
        <v>4772</v>
      </c>
      <c r="J1959" s="3" t="str">
        <f>HYPERLINK("https://www.boe.es/gazeta/dias/1817/12/18/pdfs/GMD-1817-151.pdf#page=5","Abrir facsímil")</f>
        <v>Abrir facsímil</v>
      </c>
      <c r="K1959" s="3" t="s">
        <v>23</v>
      </c>
    </row>
    <row r="1960" spans="1:11" ht="42" customHeight="1">
      <c r="A1960" s="2" t="s">
        <v>4773</v>
      </c>
      <c r="B1960" s="2" t="s">
        <v>4774</v>
      </c>
      <c r="C1960" s="2" t="s">
        <v>510</v>
      </c>
      <c r="D1960" s="2" t="s">
        <v>44</v>
      </c>
      <c r="E1960" s="5">
        <v>-30305</v>
      </c>
      <c r="F1960" s="3" t="s">
        <v>405</v>
      </c>
      <c r="G1960" s="3" t="s">
        <v>4670</v>
      </c>
      <c r="H1960" s="2" t="s">
        <v>21</v>
      </c>
      <c r="I1960" s="2" t="s">
        <v>4775</v>
      </c>
      <c r="J1960" s="3" t="str">
        <f>HYPERLINK("https://www.boe.es/gazeta/dias/1817/01/09/pdfs/GMD-1817-4.pdf#page=6","Abrir facsímil")</f>
        <v>Abrir facsímil</v>
      </c>
      <c r="K1960" s="3" t="s">
        <v>23</v>
      </c>
    </row>
    <row r="1961" spans="1:11" ht="42" customHeight="1">
      <c r="A1961" s="2" t="s">
        <v>4776</v>
      </c>
      <c r="B1961" s="2" t="s">
        <v>4776</v>
      </c>
      <c r="C1961" s="2" t="s">
        <v>36</v>
      </c>
      <c r="D1961" s="2" t="s">
        <v>37</v>
      </c>
      <c r="E1961" s="5">
        <v>-29955</v>
      </c>
      <c r="F1961" s="3" t="s">
        <v>805</v>
      </c>
      <c r="G1961" s="3" t="s">
        <v>629</v>
      </c>
      <c r="H1961" s="2" t="s">
        <v>21</v>
      </c>
      <c r="I1961" s="2" t="s">
        <v>4777</v>
      </c>
      <c r="J1961" s="3" t="str">
        <f>HYPERLINK("https://www.boe.es/gazeta/dias/1817/12/25/pdfs/GMD-1817-154.pdf#page=2","Abrir facsímil")</f>
        <v>Abrir facsímil</v>
      </c>
      <c r="K1961" s="3" t="s">
        <v>23</v>
      </c>
    </row>
    <row r="1962" spans="1:11" ht="42" customHeight="1">
      <c r="A1962" s="2" t="s">
        <v>4778</v>
      </c>
      <c r="B1962" s="2" t="s">
        <v>4779</v>
      </c>
      <c r="C1962" s="2" t="s">
        <v>36</v>
      </c>
      <c r="D1962" s="2" t="s">
        <v>37</v>
      </c>
      <c r="E1962" s="5">
        <v>-30011</v>
      </c>
      <c r="F1962" s="3" t="s">
        <v>313</v>
      </c>
      <c r="G1962" s="3" t="s">
        <v>1736</v>
      </c>
      <c r="H1962" s="2" t="s">
        <v>21</v>
      </c>
      <c r="I1962" s="2" t="s">
        <v>4780</v>
      </c>
      <c r="J1962" s="3" t="str">
        <f>HYPERLINK("https://www.boe.es/gazeta/dias/1817/10/30/pdfs/GMD-1817-130.pdf#page=11","Abrir facsímil")</f>
        <v>Abrir facsímil</v>
      </c>
      <c r="K1962" s="3" t="s">
        <v>23</v>
      </c>
    </row>
    <row r="1963" spans="1:11" ht="42" customHeight="1">
      <c r="A1963" s="2" t="s">
        <v>4781</v>
      </c>
      <c r="B1963" s="2" t="s">
        <v>4782</v>
      </c>
      <c r="C1963" s="2" t="s">
        <v>36</v>
      </c>
      <c r="D1963" s="2" t="s">
        <v>37</v>
      </c>
      <c r="E1963" s="5">
        <v>-30011</v>
      </c>
      <c r="F1963" s="3" t="s">
        <v>313</v>
      </c>
      <c r="G1963" s="3" t="s">
        <v>1736</v>
      </c>
      <c r="H1963" s="2" t="s">
        <v>21</v>
      </c>
      <c r="I1963" s="2" t="s">
        <v>4783</v>
      </c>
      <c r="J1963" s="3" t="str">
        <f>HYPERLINK("https://www.boe.es/gazeta/dias/1817/10/30/pdfs/GMD-1817-130.pdf#page=11","Abrir facsímil")</f>
        <v>Abrir facsímil</v>
      </c>
      <c r="K1963" s="3" t="s">
        <v>23</v>
      </c>
    </row>
    <row r="1964" spans="1:11" ht="42" customHeight="1">
      <c r="A1964" s="2" t="s">
        <v>4781</v>
      </c>
      <c r="B1964" s="2" t="s">
        <v>4782</v>
      </c>
      <c r="C1964" s="2" t="s">
        <v>36</v>
      </c>
      <c r="D1964" s="2" t="s">
        <v>37</v>
      </c>
      <c r="E1964" s="5">
        <v>-30011</v>
      </c>
      <c r="F1964" s="3" t="s">
        <v>313</v>
      </c>
      <c r="G1964" s="3" t="s">
        <v>77</v>
      </c>
      <c r="H1964" s="2" t="s">
        <v>21</v>
      </c>
      <c r="I1964" s="2" t="s">
        <v>4784</v>
      </c>
      <c r="J1964" s="3" t="str">
        <f>HYPERLINK("https://www.boe.es/gazeta/dias/1817/10/30/pdfs/GMD-1817-130.pdf#page=8","Abrir facsímil")</f>
        <v>Abrir facsímil</v>
      </c>
      <c r="K1964" s="3" t="s">
        <v>23</v>
      </c>
    </row>
    <row r="1965" spans="1:11" ht="42" customHeight="1">
      <c r="A1965" s="2" t="s">
        <v>4785</v>
      </c>
      <c r="B1965" s="2" t="s">
        <v>4786</v>
      </c>
      <c r="C1965" s="2" t="s">
        <v>55</v>
      </c>
      <c r="D1965" s="2" t="s">
        <v>44</v>
      </c>
      <c r="E1965" s="5">
        <v>-30300</v>
      </c>
      <c r="F1965" s="3" t="s">
        <v>164</v>
      </c>
      <c r="G1965" s="3" t="s">
        <v>409</v>
      </c>
      <c r="H1965" s="2" t="s">
        <v>21</v>
      </c>
      <c r="I1965" s="2" t="s">
        <v>4787</v>
      </c>
      <c r="J1965" s="3" t="str">
        <f>HYPERLINK("https://www.boe.es/gazeta/dias/1817/01/14/pdfs/GMD-1817-6.pdf#page=8","Abrir facsímil")</f>
        <v>Abrir facsímil</v>
      </c>
      <c r="K1965" s="3" t="s">
        <v>23</v>
      </c>
    </row>
    <row r="1966" spans="1:11" ht="42" customHeight="1">
      <c r="A1966" s="2" t="s">
        <v>4788</v>
      </c>
      <c r="B1966" s="2" t="s">
        <v>4789</v>
      </c>
      <c r="C1966" s="2" t="s">
        <v>55</v>
      </c>
      <c r="D1966" s="2" t="s">
        <v>44</v>
      </c>
      <c r="E1966" s="5">
        <v>-30065</v>
      </c>
      <c r="F1966" s="3" t="s">
        <v>201</v>
      </c>
      <c r="G1966" s="3" t="s">
        <v>57</v>
      </c>
      <c r="H1966" s="2" t="s">
        <v>21</v>
      </c>
      <c r="I1966" s="2" t="s">
        <v>4790</v>
      </c>
      <c r="J1966" s="3" t="str">
        <f>HYPERLINK("https://www.boe.es/gazeta/dias/1817/09/06/pdfs/GMD-1817-107.pdf#page=6","Abrir facsímil")</f>
        <v>Abrir facsímil</v>
      </c>
      <c r="K1966" s="3" t="s">
        <v>23</v>
      </c>
    </row>
    <row r="1967" spans="1:11" ht="42" customHeight="1">
      <c r="A1967" s="2" t="s">
        <v>4791</v>
      </c>
      <c r="B1967" s="2" t="s">
        <v>4791</v>
      </c>
      <c r="C1967" s="2" t="s">
        <v>17</v>
      </c>
      <c r="D1967" s="2" t="s">
        <v>18</v>
      </c>
      <c r="E1967" s="5">
        <v>-30167</v>
      </c>
      <c r="F1967" s="3" t="s">
        <v>153</v>
      </c>
      <c r="G1967" s="3" t="s">
        <v>551</v>
      </c>
      <c r="H1967" s="2" t="s">
        <v>21</v>
      </c>
      <c r="I1967" s="2" t="s">
        <v>4792</v>
      </c>
      <c r="J1967" s="3" t="str">
        <f>HYPERLINK("https://www.boe.es/gazeta/dias/1817/05/27/pdfs/GMD-1817-63.pdf#page=3","Abrir facsímil")</f>
        <v>Abrir facsímil</v>
      </c>
      <c r="K1967" s="3" t="s">
        <v>23</v>
      </c>
    </row>
    <row r="1968" spans="1:11" ht="42" customHeight="1">
      <c r="A1968" s="2" t="s">
        <v>4793</v>
      </c>
      <c r="B1968" s="2" t="s">
        <v>4794</v>
      </c>
      <c r="C1968" s="2" t="s">
        <v>138</v>
      </c>
      <c r="D1968" s="2" t="s">
        <v>44</v>
      </c>
      <c r="E1968" s="5">
        <v>-30034</v>
      </c>
      <c r="F1968" s="3" t="s">
        <v>270</v>
      </c>
      <c r="G1968" s="3" t="s">
        <v>20</v>
      </c>
      <c r="H1968" s="2" t="s">
        <v>21</v>
      </c>
      <c r="I1968" s="2" t="s">
        <v>4795</v>
      </c>
      <c r="J1968" s="3" t="str">
        <f>HYPERLINK("https://www.boe.es/gazeta/dias/1817/10/07/pdfs/GMD-1817-120.pdf#page=7","Abrir facsímil")</f>
        <v>Abrir facsímil</v>
      </c>
      <c r="K1968" s="3" t="s">
        <v>23</v>
      </c>
    </row>
    <row r="1969" spans="1:11" ht="42" customHeight="1">
      <c r="A1969" s="2" t="s">
        <v>4796</v>
      </c>
      <c r="B1969" s="2" t="s">
        <v>4796</v>
      </c>
      <c r="C1969" s="2" t="s">
        <v>36</v>
      </c>
      <c r="D1969" s="2" t="s">
        <v>37</v>
      </c>
      <c r="E1969" s="5">
        <v>-30044</v>
      </c>
      <c r="F1969" s="3" t="s">
        <v>450</v>
      </c>
      <c r="G1969" s="3" t="s">
        <v>72</v>
      </c>
      <c r="H1969" s="2" t="s">
        <v>21</v>
      </c>
      <c r="I1969" s="2" t="s">
        <v>4797</v>
      </c>
      <c r="J1969" s="3" t="str">
        <f>HYPERLINK("https://www.boe.es/gazeta/dias/1817/09/27/pdfs/GMD-1817-116.pdf#page=1","Abrir facsímil")</f>
        <v>Abrir facsímil</v>
      </c>
      <c r="K1969" s="3" t="s">
        <v>23</v>
      </c>
    </row>
    <row r="1970" spans="1:11" ht="42" customHeight="1">
      <c r="A1970" s="2" t="s">
        <v>4798</v>
      </c>
      <c r="B1970" s="2" t="s">
        <v>4799</v>
      </c>
      <c r="C1970" s="2" t="s">
        <v>17</v>
      </c>
      <c r="D1970" s="2" t="s">
        <v>18</v>
      </c>
      <c r="E1970" s="5">
        <v>-30023</v>
      </c>
      <c r="F1970" s="3" t="s">
        <v>460</v>
      </c>
      <c r="G1970" s="3" t="s">
        <v>72</v>
      </c>
      <c r="H1970" s="2" t="s">
        <v>21</v>
      </c>
      <c r="I1970" s="2" t="s">
        <v>4800</v>
      </c>
      <c r="J1970" s="3" t="str">
        <f>HYPERLINK("https://www.boe.es/gazeta/dias/1817/10/18/pdfs/GMD-1817-125.pdf#page=1","Abrir facsímil")</f>
        <v>Abrir facsímil</v>
      </c>
      <c r="K1970" s="3" t="s">
        <v>23</v>
      </c>
    </row>
    <row r="1971" spans="1:11" ht="42" customHeight="1">
      <c r="A1971" s="2" t="s">
        <v>4801</v>
      </c>
      <c r="B1971" s="2" t="s">
        <v>4802</v>
      </c>
      <c r="C1971" s="2" t="s">
        <v>17</v>
      </c>
      <c r="D1971" s="2" t="s">
        <v>18</v>
      </c>
      <c r="E1971" s="5">
        <v>-30233</v>
      </c>
      <c r="F1971" s="3" t="s">
        <v>577</v>
      </c>
      <c r="G1971" s="3" t="s">
        <v>57</v>
      </c>
      <c r="H1971" s="2" t="s">
        <v>21</v>
      </c>
      <c r="I1971" s="2" t="s">
        <v>4803</v>
      </c>
      <c r="J1971" s="3" t="str">
        <f>HYPERLINK("https://www.boe.es/gazeta/dias/1817/03/22/pdfs/GMD-1817-35.pdf#page=6","Abrir facsímil")</f>
        <v>Abrir facsímil</v>
      </c>
      <c r="K1971" s="3" t="s">
        <v>23</v>
      </c>
    </row>
    <row r="1972" spans="1:11" ht="42" customHeight="1">
      <c r="A1972" s="2" t="s">
        <v>4804</v>
      </c>
      <c r="B1972" s="2" t="s">
        <v>4805</v>
      </c>
      <c r="C1972" s="2" t="s">
        <v>49</v>
      </c>
      <c r="D1972" s="2" t="s">
        <v>44</v>
      </c>
      <c r="E1972" s="5">
        <v>-30069</v>
      </c>
      <c r="F1972" s="3" t="s">
        <v>817</v>
      </c>
      <c r="G1972" s="3" t="s">
        <v>818</v>
      </c>
      <c r="H1972" s="2" t="s">
        <v>21</v>
      </c>
      <c r="I1972" s="2" t="s">
        <v>4806</v>
      </c>
      <c r="J1972" s="3" t="str">
        <f>HYPERLINK("https://www.boe.es/gazeta/dias/1817/09/02/pdfs/GMD-1817-105.pdf#page=8","Abrir facsímil")</f>
        <v>Abrir facsímil</v>
      </c>
      <c r="K1972" s="3" t="s">
        <v>23</v>
      </c>
    </row>
    <row r="1973" spans="1:11" ht="42" customHeight="1">
      <c r="A1973" s="2" t="s">
        <v>4807</v>
      </c>
      <c r="B1973" s="2" t="s">
        <v>4808</v>
      </c>
      <c r="C1973" s="2" t="s">
        <v>138</v>
      </c>
      <c r="D1973" s="2" t="s">
        <v>44</v>
      </c>
      <c r="E1973" s="5">
        <v>-30256</v>
      </c>
      <c r="F1973" s="3" t="s">
        <v>302</v>
      </c>
      <c r="G1973" s="3" t="s">
        <v>20</v>
      </c>
      <c r="H1973" s="2" t="s">
        <v>21</v>
      </c>
      <c r="I1973" s="2" t="s">
        <v>4809</v>
      </c>
      <c r="J1973" s="3" t="str">
        <f>HYPERLINK("https://www.boe.es/gazeta/dias/1817/02/27/pdfs/GMD-1817-25.pdf#page=7","Abrir facsímil")</f>
        <v>Abrir facsímil</v>
      </c>
      <c r="K1973" s="3" t="s">
        <v>23</v>
      </c>
    </row>
    <row r="1974" spans="1:11" ht="42" customHeight="1">
      <c r="A1974" s="2" t="s">
        <v>4810</v>
      </c>
      <c r="B1974" s="2" t="s">
        <v>4811</v>
      </c>
      <c r="C1974" s="2" t="s">
        <v>1325</v>
      </c>
      <c r="D1974" s="2" t="s">
        <v>18</v>
      </c>
      <c r="E1974" s="5">
        <v>-30195</v>
      </c>
      <c r="F1974" s="3" t="s">
        <v>1163</v>
      </c>
      <c r="G1974" s="3" t="s">
        <v>3815</v>
      </c>
      <c r="H1974" s="2" t="s">
        <v>21</v>
      </c>
      <c r="I1974" s="2" t="s">
        <v>4812</v>
      </c>
      <c r="J1974" s="3" t="str">
        <f>HYPERLINK("https://www.boe.es/gazeta/dias/1817/04/29/pdfs/GMD-1817-51.pdf#page=7","Abrir facsímil")</f>
        <v>Abrir facsímil</v>
      </c>
      <c r="K1974" s="3" t="s">
        <v>23</v>
      </c>
    </row>
    <row r="1975" spans="1:11" ht="42" customHeight="1">
      <c r="A1975" s="2" t="s">
        <v>4813</v>
      </c>
      <c r="B1975" s="2" t="s">
        <v>4814</v>
      </c>
      <c r="C1975" s="2" t="s">
        <v>43</v>
      </c>
      <c r="D1975" s="2" t="s">
        <v>44</v>
      </c>
      <c r="E1975" s="5">
        <v>-30228</v>
      </c>
      <c r="F1975" s="3" t="s">
        <v>383</v>
      </c>
      <c r="G1975" s="3" t="s">
        <v>57</v>
      </c>
      <c r="H1975" s="2" t="s">
        <v>21</v>
      </c>
      <c r="I1975" s="2" t="s">
        <v>4815</v>
      </c>
      <c r="J1975" s="3" t="str">
        <f>HYPERLINK("https://www.boe.es/gazeta/dias/1817/03/27/pdfs/GMD-1817-37.pdf#page=6","Abrir facsímil")</f>
        <v>Abrir facsímil</v>
      </c>
      <c r="K1975" s="3" t="s">
        <v>23</v>
      </c>
    </row>
    <row r="1976" spans="1:11" ht="42" customHeight="1">
      <c r="A1976" s="2" t="s">
        <v>4816</v>
      </c>
      <c r="B1976" s="2" t="s">
        <v>4816</v>
      </c>
      <c r="C1976" s="2" t="s">
        <v>36</v>
      </c>
      <c r="D1976" s="2" t="s">
        <v>37</v>
      </c>
      <c r="E1976" s="5">
        <v>-30018</v>
      </c>
      <c r="F1976" s="3" t="s">
        <v>757</v>
      </c>
      <c r="G1976" s="3" t="s">
        <v>39</v>
      </c>
      <c r="H1976" s="2" t="s">
        <v>21</v>
      </c>
      <c r="I1976" s="2" t="s">
        <v>4817</v>
      </c>
      <c r="J1976" s="3" t="str">
        <f>HYPERLINK("https://www.boe.es/gazeta/dias/1817/10/23/pdfs/GMD-1817-127.pdf#page=5","Abrir facsímil")</f>
        <v>Abrir facsímil</v>
      </c>
      <c r="K1976" s="3" t="s">
        <v>23</v>
      </c>
    </row>
    <row r="1977" spans="1:11" ht="42" customHeight="1">
      <c r="A1977" s="2" t="s">
        <v>4818</v>
      </c>
      <c r="B1977" s="2" t="s">
        <v>4819</v>
      </c>
      <c r="C1977" s="2" t="s">
        <v>17</v>
      </c>
      <c r="D1977" s="2" t="s">
        <v>18</v>
      </c>
      <c r="E1977" s="5">
        <v>-30270</v>
      </c>
      <c r="F1977" s="3" t="s">
        <v>341</v>
      </c>
      <c r="G1977" s="3" t="s">
        <v>144</v>
      </c>
      <c r="H1977" s="2" t="s">
        <v>21</v>
      </c>
      <c r="I1977" s="2" t="s">
        <v>4820</v>
      </c>
      <c r="J1977" s="3" t="str">
        <f>HYPERLINK("https://www.boe.es/gazeta/dias/1817/02/13/pdfs/GMD-1817-19.pdf#page=4","Abrir facsímil")</f>
        <v>Abrir facsímil</v>
      </c>
      <c r="K1977" s="3" t="s">
        <v>23</v>
      </c>
    </row>
    <row r="1978" spans="1:11" ht="42" customHeight="1">
      <c r="A1978" s="2" t="s">
        <v>4818</v>
      </c>
      <c r="B1978" s="2" t="s">
        <v>4819</v>
      </c>
      <c r="C1978" s="2" t="s">
        <v>36</v>
      </c>
      <c r="D1978" s="2" t="s">
        <v>37</v>
      </c>
      <c r="E1978" s="5">
        <v>-30233</v>
      </c>
      <c r="F1978" s="3" t="s">
        <v>577</v>
      </c>
      <c r="G1978" s="3" t="s">
        <v>72</v>
      </c>
      <c r="H1978" s="2" t="s">
        <v>21</v>
      </c>
      <c r="I1978" s="2" t="s">
        <v>4821</v>
      </c>
      <c r="J1978" s="3" t="str">
        <f>HYPERLINK("https://www.boe.es/gazeta/dias/1817/03/22/pdfs/GMD-1817-35.pdf#page=1","Abrir facsímil")</f>
        <v>Abrir facsímil</v>
      </c>
      <c r="K1978" s="3" t="s">
        <v>23</v>
      </c>
    </row>
    <row r="1979" spans="1:11" ht="42" customHeight="1">
      <c r="A1979" s="2" t="s">
        <v>4822</v>
      </c>
      <c r="B1979" s="2" t="s">
        <v>4822</v>
      </c>
      <c r="C1979" s="2" t="s">
        <v>43</v>
      </c>
      <c r="D1979" s="2" t="s">
        <v>44</v>
      </c>
      <c r="E1979" s="5">
        <v>-30193</v>
      </c>
      <c r="F1979" s="3" t="s">
        <v>38</v>
      </c>
      <c r="G1979" s="3" t="s">
        <v>39</v>
      </c>
      <c r="H1979" s="2" t="s">
        <v>21</v>
      </c>
      <c r="I1979" s="2" t="s">
        <v>4823</v>
      </c>
      <c r="J1979" s="3" t="str">
        <f>HYPERLINK("https://www.boe.es/gazeta/dias/1817/05/01/pdfs/GMD-1817-52.pdf#page=5","Abrir facsímil")</f>
        <v>Abrir facsímil</v>
      </c>
      <c r="K1979" s="3" t="s">
        <v>23</v>
      </c>
    </row>
    <row r="1980" spans="1:11" ht="42" customHeight="1">
      <c r="A1980" s="2" t="s">
        <v>4824</v>
      </c>
      <c r="B1980" s="2" t="s">
        <v>4825</v>
      </c>
      <c r="C1980" s="2" t="s">
        <v>43</v>
      </c>
      <c r="D1980" s="2" t="s">
        <v>44</v>
      </c>
      <c r="E1980" s="5">
        <v>-30286</v>
      </c>
      <c r="F1980" s="3" t="s">
        <v>354</v>
      </c>
      <c r="G1980" s="3" t="s">
        <v>1580</v>
      </c>
      <c r="H1980" s="2" t="s">
        <v>27</v>
      </c>
      <c r="I1980" s="2" t="s">
        <v>4826</v>
      </c>
      <c r="J1980" s="3" t="str">
        <f>HYPERLINK("https://www.boe.es/gazeta/dias/1817/01/28/pdfs/GMD-1817-12.pdf#page=5","Abrir facsímil")</f>
        <v>Abrir facsímil</v>
      </c>
      <c r="K1980" s="3" t="s">
        <v>29</v>
      </c>
    </row>
    <row r="1981" spans="1:11" ht="42" customHeight="1">
      <c r="A1981" s="2" t="s">
        <v>4827</v>
      </c>
      <c r="B1981" s="2" t="s">
        <v>4828</v>
      </c>
      <c r="C1981" s="2" t="s">
        <v>97</v>
      </c>
      <c r="D1981" s="2" t="s">
        <v>44</v>
      </c>
      <c r="E1981" s="5">
        <v>-30104</v>
      </c>
      <c r="F1981" s="3" t="s">
        <v>856</v>
      </c>
      <c r="G1981" s="3" t="s">
        <v>1277</v>
      </c>
      <c r="H1981" s="2" t="s">
        <v>21</v>
      </c>
      <c r="I1981" s="2" t="s">
        <v>4829</v>
      </c>
      <c r="J1981" s="3" t="str">
        <f>HYPERLINK("https://www.boe.es/gazeta/dias/1817/07/29/pdfs/GMD-1817-90.pdf#page=8","Abrir facsímil")</f>
        <v>Abrir facsímil</v>
      </c>
      <c r="K1981" s="3" t="s">
        <v>23</v>
      </c>
    </row>
    <row r="1982" spans="1:11" ht="42" customHeight="1">
      <c r="A1982" s="2" t="s">
        <v>4827</v>
      </c>
      <c r="B1982" s="2" t="s">
        <v>4828</v>
      </c>
      <c r="C1982" s="2" t="s">
        <v>17</v>
      </c>
      <c r="D1982" s="2" t="s">
        <v>18</v>
      </c>
      <c r="E1982" s="5">
        <v>-30065</v>
      </c>
      <c r="F1982" s="3" t="s">
        <v>201</v>
      </c>
      <c r="G1982" s="3" t="s">
        <v>20</v>
      </c>
      <c r="H1982" s="2" t="s">
        <v>21</v>
      </c>
      <c r="I1982" s="2" t="s">
        <v>4830</v>
      </c>
      <c r="J1982" s="3" t="str">
        <f>HYPERLINK("https://www.boe.es/gazeta/dias/1817/09/06/pdfs/GMD-1817-107.pdf#page=7","Abrir facsímil")</f>
        <v>Abrir facsímil</v>
      </c>
      <c r="K1982" s="3" t="s">
        <v>23</v>
      </c>
    </row>
    <row r="1983" spans="1:11" ht="42" customHeight="1">
      <c r="A1983" s="2" t="s">
        <v>4831</v>
      </c>
      <c r="B1983" s="2" t="s">
        <v>4832</v>
      </c>
      <c r="C1983" s="2" t="s">
        <v>36</v>
      </c>
      <c r="D1983" s="2" t="s">
        <v>37</v>
      </c>
      <c r="E1983" s="5">
        <v>-30198</v>
      </c>
      <c r="F1983" s="3" t="s">
        <v>2185</v>
      </c>
      <c r="G1983" s="3" t="s">
        <v>2186</v>
      </c>
      <c r="H1983" s="2" t="s">
        <v>21</v>
      </c>
      <c r="I1983" s="2" t="s">
        <v>4833</v>
      </c>
      <c r="J1983" s="3" t="str">
        <f>HYPERLINK("https://www.boe.es/gazeta/dias/1817/04/26/pdfs/GMD-1817-50.pdf#page=8","Abrir facsímil")</f>
        <v>Abrir facsímil</v>
      </c>
      <c r="K1983" s="3" t="s">
        <v>23</v>
      </c>
    </row>
    <row r="1984" spans="1:11" ht="42" customHeight="1">
      <c r="A1984" s="2" t="s">
        <v>4834</v>
      </c>
      <c r="B1984" s="2" t="s">
        <v>4834</v>
      </c>
      <c r="C1984" s="2" t="s">
        <v>36</v>
      </c>
      <c r="D1984" s="2" t="s">
        <v>37</v>
      </c>
      <c r="E1984" s="5">
        <v>-29955</v>
      </c>
      <c r="F1984" s="3" t="s">
        <v>805</v>
      </c>
      <c r="G1984" s="3" t="s">
        <v>1842</v>
      </c>
      <c r="H1984" s="2" t="s">
        <v>21</v>
      </c>
      <c r="I1984" s="2" t="s">
        <v>4835</v>
      </c>
      <c r="J1984" s="3" t="str">
        <f>HYPERLINK("https://www.boe.es/gazeta/dias/1817/12/25/pdfs/GMD-1817-154.pdf#page=3","Abrir facsímil")</f>
        <v>Abrir facsímil</v>
      </c>
      <c r="K1984" s="3" t="s">
        <v>23</v>
      </c>
    </row>
    <row r="1985" spans="1:11" ht="42" customHeight="1">
      <c r="A1985" s="2" t="s">
        <v>4836</v>
      </c>
      <c r="B1985" s="2" t="s">
        <v>4837</v>
      </c>
      <c r="C1985" s="2" t="s">
        <v>138</v>
      </c>
      <c r="D1985" s="2" t="s">
        <v>44</v>
      </c>
      <c r="E1985" s="5">
        <v>-29988</v>
      </c>
      <c r="F1985" s="3" t="s">
        <v>569</v>
      </c>
      <c r="G1985" s="3" t="s">
        <v>112</v>
      </c>
      <c r="H1985" s="2" t="s">
        <v>21</v>
      </c>
      <c r="I1985" s="2" t="s">
        <v>4838</v>
      </c>
      <c r="J1985" s="3" t="str">
        <f>HYPERLINK("https://www.boe.es/gazeta/dias/1817/11/22/pdfs/GMD-1817-140.pdf#page=11","Abrir facsímil")</f>
        <v>Abrir facsímil</v>
      </c>
      <c r="K1985" s="3" t="s">
        <v>23</v>
      </c>
    </row>
    <row r="1986" spans="1:11" ht="42" customHeight="1">
      <c r="A1986" s="2" t="s">
        <v>4839</v>
      </c>
      <c r="B1986" s="2" t="s">
        <v>4840</v>
      </c>
      <c r="C1986" s="2" t="s">
        <v>36</v>
      </c>
      <c r="D1986" s="2" t="s">
        <v>37</v>
      </c>
      <c r="E1986" s="5">
        <v>-30128</v>
      </c>
      <c r="F1986" s="3" t="s">
        <v>761</v>
      </c>
      <c r="G1986" s="3" t="s">
        <v>973</v>
      </c>
      <c r="H1986" s="2" t="s">
        <v>21</v>
      </c>
      <c r="I1986" s="2" t="s">
        <v>4841</v>
      </c>
      <c r="J1986" s="3" t="str">
        <f>HYPERLINK("https://www.boe.es/gazeta/dias/1817/07/05/pdfs/GMD-1817-80.pdf#page=6","Abrir facsímil")</f>
        <v>Abrir facsímil</v>
      </c>
      <c r="K1986" s="3" t="s">
        <v>23</v>
      </c>
    </row>
    <row r="1987" spans="1:11" ht="42" customHeight="1">
      <c r="A1987" s="2" t="s">
        <v>4842</v>
      </c>
      <c r="B1987" s="2" t="s">
        <v>4843</v>
      </c>
      <c r="C1987" s="2" t="s">
        <v>43</v>
      </c>
      <c r="D1987" s="2" t="s">
        <v>44</v>
      </c>
      <c r="E1987" s="5">
        <v>-30062</v>
      </c>
      <c r="F1987" s="3" t="s">
        <v>444</v>
      </c>
      <c r="G1987" s="3" t="s">
        <v>314</v>
      </c>
      <c r="H1987" s="2" t="s">
        <v>21</v>
      </c>
      <c r="I1987" s="2" t="s">
        <v>4844</v>
      </c>
      <c r="J1987" s="3" t="str">
        <f>HYPERLINK("https://www.boe.es/gazeta/dias/1817/09/09/pdfs/GMD-1817-108.pdf#page=10","Abrir facsímil")</f>
        <v>Abrir facsímil</v>
      </c>
      <c r="K1987" s="3" t="s">
        <v>23</v>
      </c>
    </row>
    <row r="1988" spans="1:11" ht="42" customHeight="1">
      <c r="A1988" s="2" t="s">
        <v>4845</v>
      </c>
      <c r="B1988" s="2" t="s">
        <v>4846</v>
      </c>
      <c r="C1988" s="2" t="s">
        <v>138</v>
      </c>
      <c r="D1988" s="2" t="s">
        <v>44</v>
      </c>
      <c r="E1988" s="5">
        <v>-30065</v>
      </c>
      <c r="F1988" s="3" t="s">
        <v>201</v>
      </c>
      <c r="G1988" s="3" t="s">
        <v>57</v>
      </c>
      <c r="H1988" s="2" t="s">
        <v>21</v>
      </c>
      <c r="I1988" s="2" t="s">
        <v>4847</v>
      </c>
      <c r="J1988" s="3" t="str">
        <f>HYPERLINK("https://www.boe.es/gazeta/dias/1817/09/06/pdfs/GMD-1817-107.pdf#page=6","Abrir facsímil")</f>
        <v>Abrir facsímil</v>
      </c>
      <c r="K1988" s="3" t="s">
        <v>23</v>
      </c>
    </row>
    <row r="1989" spans="1:11" ht="42" customHeight="1">
      <c r="A1989" s="2" t="s">
        <v>4848</v>
      </c>
      <c r="B1989" s="2" t="s">
        <v>4849</v>
      </c>
      <c r="C1989" s="2" t="s">
        <v>36</v>
      </c>
      <c r="D1989" s="2" t="s">
        <v>37</v>
      </c>
      <c r="E1989" s="5">
        <v>-29960</v>
      </c>
      <c r="F1989" s="3" t="s">
        <v>657</v>
      </c>
      <c r="G1989" s="3" t="s">
        <v>144</v>
      </c>
      <c r="H1989" s="2" t="s">
        <v>21</v>
      </c>
      <c r="I1989" s="2" t="s">
        <v>4850</v>
      </c>
      <c r="J1989" s="3" t="str">
        <f>HYPERLINK("https://www.boe.es/gazeta/dias/1817/12/20/pdfs/GMD-1817-152.pdf#page=4","Abrir facsímil")</f>
        <v>Abrir facsímil</v>
      </c>
      <c r="K1989" s="3" t="s">
        <v>23</v>
      </c>
    </row>
    <row r="1990" spans="1:11" ht="42" customHeight="1">
      <c r="A1990" s="2" t="s">
        <v>4851</v>
      </c>
      <c r="B1990" s="2" t="s">
        <v>4852</v>
      </c>
      <c r="C1990" s="2" t="s">
        <v>43</v>
      </c>
      <c r="D1990" s="2" t="s">
        <v>44</v>
      </c>
      <c r="E1990" s="5">
        <v>-30293</v>
      </c>
      <c r="F1990" s="3" t="s">
        <v>143</v>
      </c>
      <c r="G1990" s="3" t="s">
        <v>20</v>
      </c>
      <c r="H1990" s="2" t="s">
        <v>21</v>
      </c>
      <c r="I1990" s="2" t="s">
        <v>4853</v>
      </c>
      <c r="J1990" s="3" t="str">
        <f>HYPERLINK("https://www.boe.es/gazeta/dias/1817/01/21/pdfs/GMD-1817-9.pdf#page=7","Abrir facsímil")</f>
        <v>Abrir facsímil</v>
      </c>
      <c r="K1990" s="3" t="s">
        <v>23</v>
      </c>
    </row>
    <row r="1991" spans="1:11" ht="42" customHeight="1">
      <c r="A1991" s="2" t="s">
        <v>4851</v>
      </c>
      <c r="B1991" s="2" t="s">
        <v>4852</v>
      </c>
      <c r="C1991" s="2" t="s">
        <v>55</v>
      </c>
      <c r="D1991" s="2" t="s">
        <v>44</v>
      </c>
      <c r="E1991" s="5">
        <v>-30258</v>
      </c>
      <c r="F1991" s="3" t="s">
        <v>234</v>
      </c>
      <c r="G1991" s="3" t="s">
        <v>144</v>
      </c>
      <c r="H1991" s="2" t="s">
        <v>21</v>
      </c>
      <c r="I1991" s="2" t="s">
        <v>4854</v>
      </c>
      <c r="J1991" s="3" t="str">
        <f>HYPERLINK("https://www.boe.es/gazeta/dias/1817/02/25/pdfs/GMD-1817-24.pdf#page=4","Abrir facsímil")</f>
        <v>Abrir facsímil</v>
      </c>
      <c r="K1991" s="3" t="s">
        <v>23</v>
      </c>
    </row>
    <row r="1992" spans="1:11" ht="42" customHeight="1">
      <c r="A1992" s="2" t="s">
        <v>4855</v>
      </c>
      <c r="B1992" s="2" t="s">
        <v>4856</v>
      </c>
      <c r="C1992" s="2" t="s">
        <v>17</v>
      </c>
      <c r="D1992" s="2" t="s">
        <v>18</v>
      </c>
      <c r="E1992" s="5">
        <v>-30102</v>
      </c>
      <c r="F1992" s="3" t="s">
        <v>502</v>
      </c>
      <c r="G1992" s="3" t="s">
        <v>20</v>
      </c>
      <c r="H1992" s="2" t="s">
        <v>21</v>
      </c>
      <c r="I1992" s="2" t="s">
        <v>4857</v>
      </c>
      <c r="J1992" s="3" t="str">
        <f>HYPERLINK("https://www.boe.es/gazeta/dias/1817/07/31/pdfs/GMD-1817-91.pdf#page=7","Abrir facsímil")</f>
        <v>Abrir facsímil</v>
      </c>
      <c r="K1992" s="3" t="s">
        <v>23</v>
      </c>
    </row>
    <row r="1993" spans="1:11" ht="42" customHeight="1">
      <c r="A1993" s="2" t="s">
        <v>4858</v>
      </c>
      <c r="B1993" s="2" t="s">
        <v>4859</v>
      </c>
      <c r="C1993" s="2" t="s">
        <v>49</v>
      </c>
      <c r="D1993" s="2" t="s">
        <v>44</v>
      </c>
      <c r="E1993" s="5">
        <v>-30258</v>
      </c>
      <c r="F1993" s="3" t="s">
        <v>234</v>
      </c>
      <c r="G1993" s="3" t="s">
        <v>77</v>
      </c>
      <c r="H1993" s="2" t="s">
        <v>21</v>
      </c>
      <c r="I1993" s="2" t="s">
        <v>4860</v>
      </c>
      <c r="J1993" s="3" t="str">
        <f>HYPERLINK("https://www.boe.es/gazeta/dias/1817/02/25/pdfs/GMD-1817-24.pdf#page=8","Abrir facsímil")</f>
        <v>Abrir facsímil</v>
      </c>
      <c r="K1993" s="3" t="s">
        <v>23</v>
      </c>
    </row>
    <row r="1994" spans="1:11" ht="42" customHeight="1">
      <c r="A1994" s="2" t="s">
        <v>4858</v>
      </c>
      <c r="B1994" s="2" t="s">
        <v>4859</v>
      </c>
      <c r="C1994" s="2" t="s">
        <v>49</v>
      </c>
      <c r="D1994" s="2" t="s">
        <v>44</v>
      </c>
      <c r="E1994" s="5">
        <v>-29990</v>
      </c>
      <c r="F1994" s="3" t="s">
        <v>542</v>
      </c>
      <c r="G1994" s="3" t="s">
        <v>77</v>
      </c>
      <c r="H1994" s="2" t="s">
        <v>21</v>
      </c>
      <c r="I1994" s="2" t="s">
        <v>4861</v>
      </c>
      <c r="J1994" s="3" t="str">
        <f>HYPERLINK("https://www.boe.es/gazeta/dias/1817/11/20/pdfs/GMD-1817-139.pdf#page=8","Abrir facsímil")</f>
        <v>Abrir facsímil</v>
      </c>
      <c r="K1994" s="3" t="s">
        <v>23</v>
      </c>
    </row>
    <row r="1995" spans="1:11" ht="42" customHeight="1">
      <c r="A1995" s="2" t="s">
        <v>4862</v>
      </c>
      <c r="B1995" s="2" t="s">
        <v>4862</v>
      </c>
      <c r="C1995" s="2" t="s">
        <v>36</v>
      </c>
      <c r="D1995" s="2" t="s">
        <v>37</v>
      </c>
      <c r="E1995" s="5">
        <v>-29985</v>
      </c>
      <c r="F1995" s="3" t="s">
        <v>76</v>
      </c>
      <c r="G1995" s="3" t="s">
        <v>144</v>
      </c>
      <c r="H1995" s="2" t="s">
        <v>21</v>
      </c>
      <c r="I1995" s="2" t="s">
        <v>4863</v>
      </c>
      <c r="J1995" s="3" t="str">
        <f>HYPERLINK("https://www.boe.es/gazeta/dias/1817/11/25/pdfs/GMD-1817-141.pdf#page=4","Abrir facsímil")</f>
        <v>Abrir facsímil</v>
      </c>
      <c r="K1995" s="3" t="s">
        <v>23</v>
      </c>
    </row>
    <row r="1996" spans="1:11" ht="42" customHeight="1">
      <c r="A1996" s="2" t="s">
        <v>4862</v>
      </c>
      <c r="B1996" s="2" t="s">
        <v>4862</v>
      </c>
      <c r="C1996" s="2" t="s">
        <v>43</v>
      </c>
      <c r="D1996" s="2" t="s">
        <v>44</v>
      </c>
      <c r="E1996" s="5">
        <v>-29978</v>
      </c>
      <c r="F1996" s="3" t="s">
        <v>478</v>
      </c>
      <c r="G1996" s="3" t="s">
        <v>832</v>
      </c>
      <c r="H1996" s="2" t="s">
        <v>21</v>
      </c>
      <c r="I1996" s="2" t="s">
        <v>4864</v>
      </c>
      <c r="J1996" s="3" t="str">
        <f>HYPERLINK("https://www.boe.es/gazeta/dias/1817/12/02/pdfs/GMD-1817-144.pdf#page=6","Abrir facsímil")</f>
        <v>Abrir facsímil</v>
      </c>
      <c r="K1996" s="3" t="s">
        <v>23</v>
      </c>
    </row>
    <row r="1997" spans="1:11" ht="42" customHeight="1">
      <c r="A1997" s="2" t="s">
        <v>4865</v>
      </c>
      <c r="B1997" s="2" t="s">
        <v>4865</v>
      </c>
      <c r="C1997" s="2" t="s">
        <v>36</v>
      </c>
      <c r="D1997" s="2" t="s">
        <v>37</v>
      </c>
      <c r="E1997" s="5">
        <v>-30216</v>
      </c>
      <c r="F1997" s="3" t="s">
        <v>344</v>
      </c>
      <c r="G1997" s="3" t="s">
        <v>77</v>
      </c>
      <c r="H1997" s="2" t="s">
        <v>21</v>
      </c>
      <c r="I1997" s="2" t="s">
        <v>4866</v>
      </c>
      <c r="J1997" s="3" t="str">
        <f>HYPERLINK("https://www.boe.es/gazeta/dias/1817/04/08/pdfs/GMD-1817-42.pdf#page=8","Abrir facsímil")</f>
        <v>Abrir facsímil</v>
      </c>
      <c r="K1997" s="3" t="s">
        <v>23</v>
      </c>
    </row>
    <row r="1998" spans="1:11" ht="42" customHeight="1">
      <c r="A1998" s="2" t="s">
        <v>4867</v>
      </c>
      <c r="B1998" s="2" t="s">
        <v>4868</v>
      </c>
      <c r="C1998" s="2" t="s">
        <v>97</v>
      </c>
      <c r="D1998" s="2" t="s">
        <v>44</v>
      </c>
      <c r="E1998" s="5">
        <v>-30025</v>
      </c>
      <c r="F1998" s="3" t="s">
        <v>458</v>
      </c>
      <c r="G1998" s="3" t="s">
        <v>77</v>
      </c>
      <c r="H1998" s="2" t="s">
        <v>21</v>
      </c>
      <c r="I1998" s="2" t="s">
        <v>4869</v>
      </c>
      <c r="J1998" s="3" t="str">
        <f>HYPERLINK("https://www.boe.es/gazeta/dias/1817/10/16/pdfs/GMD-1817-124.pdf#page=8","Abrir facsímil")</f>
        <v>Abrir facsímil</v>
      </c>
      <c r="K1998" s="3" t="s">
        <v>23</v>
      </c>
    </row>
    <row r="1999" spans="1:11" ht="42" customHeight="1">
      <c r="A1999" s="2" t="s">
        <v>4870</v>
      </c>
      <c r="B1999" s="2" t="s">
        <v>4870</v>
      </c>
      <c r="C1999" s="2" t="s">
        <v>97</v>
      </c>
      <c r="D1999" s="2" t="s">
        <v>44</v>
      </c>
      <c r="E1999" s="5">
        <v>-30268</v>
      </c>
      <c r="F1999" s="3" t="s">
        <v>1160</v>
      </c>
      <c r="G1999" s="3" t="s">
        <v>77</v>
      </c>
      <c r="H1999" s="2" t="s">
        <v>21</v>
      </c>
      <c r="I1999" s="2" t="s">
        <v>4871</v>
      </c>
      <c r="J1999" s="3" t="str">
        <f>HYPERLINK("https://www.boe.es/gazeta/dias/1817/02/15/pdfs/GMD-1817-20.pdf#page=8","Abrir facsímil")</f>
        <v>Abrir facsímil</v>
      </c>
      <c r="K1999" s="3" t="s">
        <v>23</v>
      </c>
    </row>
    <row r="2000" spans="1:11" ht="42" customHeight="1">
      <c r="A2000" s="2" t="s">
        <v>4872</v>
      </c>
      <c r="B2000" s="2" t="s">
        <v>4873</v>
      </c>
      <c r="C2000" s="2" t="s">
        <v>17</v>
      </c>
      <c r="D2000" s="2" t="s">
        <v>18</v>
      </c>
      <c r="E2000" s="5">
        <v>-29976</v>
      </c>
      <c r="F2000" s="3" t="s">
        <v>81</v>
      </c>
      <c r="G2000" s="3" t="s">
        <v>82</v>
      </c>
      <c r="H2000" s="2" t="s">
        <v>21</v>
      </c>
      <c r="I2000" s="2" t="s">
        <v>4874</v>
      </c>
      <c r="J2000" s="3" t="str">
        <f>HYPERLINK("https://www.boe.es/gazeta/dias/1817/12/04/pdfs/GMD-1817-145.pdf#page=12","Abrir facsímil")</f>
        <v>Abrir facsímil</v>
      </c>
      <c r="K2000" s="3" t="s">
        <v>23</v>
      </c>
    </row>
    <row r="2001" spans="1:11" ht="42" customHeight="1">
      <c r="A2001" s="2" t="s">
        <v>4875</v>
      </c>
      <c r="B2001" s="2" t="s">
        <v>4875</v>
      </c>
      <c r="C2001" s="2" t="s">
        <v>17</v>
      </c>
      <c r="D2001" s="2" t="s">
        <v>18</v>
      </c>
      <c r="E2001" s="5">
        <v>-30307</v>
      </c>
      <c r="F2001" s="3" t="s">
        <v>67</v>
      </c>
      <c r="G2001" s="3" t="s">
        <v>739</v>
      </c>
      <c r="H2001" s="2" t="s">
        <v>21</v>
      </c>
      <c r="I2001" s="2" t="s">
        <v>4876</v>
      </c>
      <c r="J2001" s="3" t="str">
        <f>HYPERLINK("https://www.boe.es/gazeta/dias/1817/01/07/pdfs/GMD-1817-3.pdf#page=6","Abrir facsímil")</f>
        <v>Abrir facsímil</v>
      </c>
      <c r="K2001" s="3" t="s">
        <v>23</v>
      </c>
    </row>
    <row r="2002" spans="1:11" ht="42" customHeight="1">
      <c r="A2002" s="2" t="s">
        <v>4875</v>
      </c>
      <c r="B2002" s="2" t="s">
        <v>4875</v>
      </c>
      <c r="C2002" s="2" t="s">
        <v>510</v>
      </c>
      <c r="D2002" s="2" t="s">
        <v>44</v>
      </c>
      <c r="E2002" s="5">
        <v>-30200</v>
      </c>
      <c r="F2002" s="3" t="s">
        <v>725</v>
      </c>
      <c r="G2002" s="3" t="s">
        <v>77</v>
      </c>
      <c r="H2002" s="2" t="s">
        <v>21</v>
      </c>
      <c r="I2002" s="2" t="s">
        <v>4877</v>
      </c>
      <c r="J2002" s="3" t="str">
        <f>HYPERLINK("https://www.boe.es/gazeta/dias/1817/04/24/pdfs/GMD-1817-49.pdf#page=8","Abrir facsímil")</f>
        <v>Abrir facsímil</v>
      </c>
      <c r="K2002" s="3" t="s">
        <v>23</v>
      </c>
    </row>
    <row r="2003" spans="1:11" ht="42" customHeight="1">
      <c r="A2003" s="2" t="s">
        <v>4875</v>
      </c>
      <c r="B2003" s="2" t="s">
        <v>4875</v>
      </c>
      <c r="C2003" s="2" t="s">
        <v>55</v>
      </c>
      <c r="D2003" s="2" t="s">
        <v>44</v>
      </c>
      <c r="E2003" s="5">
        <v>-30128</v>
      </c>
      <c r="F2003" s="3" t="s">
        <v>761</v>
      </c>
      <c r="G2003" s="3" t="s">
        <v>3300</v>
      </c>
      <c r="H2003" s="2" t="s">
        <v>21</v>
      </c>
      <c r="I2003" s="2" t="s">
        <v>4878</v>
      </c>
      <c r="J2003" s="3" t="str">
        <f>HYPERLINK("https://www.boe.es/gazeta/dias/1817/07/05/pdfs/GMD-1817-80.pdf#page=8","Abrir facsímil")</f>
        <v>Abrir facsímil</v>
      </c>
      <c r="K2003" s="3" t="s">
        <v>23</v>
      </c>
    </row>
    <row r="2004" spans="1:11" ht="42" customHeight="1">
      <c r="A2004" s="2" t="s">
        <v>4875</v>
      </c>
      <c r="B2004" s="2" t="s">
        <v>4875</v>
      </c>
      <c r="C2004" s="2" t="s">
        <v>43</v>
      </c>
      <c r="D2004" s="2" t="s">
        <v>44</v>
      </c>
      <c r="E2004" s="5">
        <v>-30025</v>
      </c>
      <c r="F2004" s="3" t="s">
        <v>458</v>
      </c>
      <c r="G2004" s="3" t="s">
        <v>20</v>
      </c>
      <c r="H2004" s="2" t="s">
        <v>21</v>
      </c>
      <c r="I2004" s="2" t="s">
        <v>4879</v>
      </c>
      <c r="J2004" s="3" t="str">
        <f>HYPERLINK("https://www.boe.es/gazeta/dias/1817/10/16/pdfs/GMD-1817-124.pdf#page=7","Abrir facsímil")</f>
        <v>Abrir facsímil</v>
      </c>
      <c r="K2004" s="3" t="s">
        <v>23</v>
      </c>
    </row>
    <row r="2005" spans="1:11" ht="42" customHeight="1">
      <c r="A2005" s="2" t="s">
        <v>4880</v>
      </c>
      <c r="B2005" s="2" t="s">
        <v>4881</v>
      </c>
      <c r="C2005" s="2" t="s">
        <v>36</v>
      </c>
      <c r="D2005" s="2" t="s">
        <v>37</v>
      </c>
      <c r="E2005" s="5">
        <v>-30291</v>
      </c>
      <c r="F2005" s="3" t="s">
        <v>1041</v>
      </c>
      <c r="G2005" s="3" t="s">
        <v>20</v>
      </c>
      <c r="H2005" s="2" t="s">
        <v>21</v>
      </c>
      <c r="I2005" s="2" t="s">
        <v>4882</v>
      </c>
      <c r="J2005" s="3" t="str">
        <f>HYPERLINK("https://www.boe.es/gazeta/dias/1817/01/23/pdfs/GMD-1817-10.pdf#page=7","Abrir facsímil")</f>
        <v>Abrir facsímil</v>
      </c>
      <c r="K2005" s="3" t="s">
        <v>23</v>
      </c>
    </row>
    <row r="2006" spans="1:11" ht="42" customHeight="1">
      <c r="A2006" s="2" t="s">
        <v>4883</v>
      </c>
      <c r="B2006" s="2" t="s">
        <v>4884</v>
      </c>
      <c r="C2006" s="2" t="s">
        <v>49</v>
      </c>
      <c r="D2006" s="2" t="s">
        <v>44</v>
      </c>
      <c r="E2006" s="5">
        <v>-30198</v>
      </c>
      <c r="F2006" s="3" t="s">
        <v>2185</v>
      </c>
      <c r="G2006" s="3" t="s">
        <v>2186</v>
      </c>
      <c r="H2006" s="2" t="s">
        <v>21</v>
      </c>
      <c r="I2006" s="2" t="s">
        <v>4885</v>
      </c>
      <c r="J2006" s="3" t="str">
        <f>HYPERLINK("https://www.boe.es/gazeta/dias/1817/04/26/pdfs/GMD-1817-50.pdf#page=8","Abrir facsímil")</f>
        <v>Abrir facsímil</v>
      </c>
      <c r="K2006" s="3" t="s">
        <v>23</v>
      </c>
    </row>
    <row r="2007" spans="1:11" ht="42" customHeight="1">
      <c r="A2007" s="2" t="s">
        <v>4886</v>
      </c>
      <c r="B2007" s="2" t="s">
        <v>4886</v>
      </c>
      <c r="C2007" s="2" t="s">
        <v>36</v>
      </c>
      <c r="D2007" s="2" t="s">
        <v>37</v>
      </c>
      <c r="E2007" s="5">
        <v>-30205</v>
      </c>
      <c r="F2007" s="3" t="s">
        <v>139</v>
      </c>
      <c r="G2007" s="3" t="s">
        <v>20</v>
      </c>
      <c r="H2007" s="2" t="s">
        <v>21</v>
      </c>
      <c r="I2007" s="2" t="s">
        <v>4887</v>
      </c>
      <c r="J2007" s="3" t="str">
        <f>HYPERLINK("https://www.boe.es/gazeta/dias/1817/04/19/pdfs/GMD-1817-47.pdf#page=7","Abrir facsímil")</f>
        <v>Abrir facsímil</v>
      </c>
      <c r="K2007" s="3" t="s">
        <v>23</v>
      </c>
    </row>
    <row r="2008" spans="1:11" ht="42" customHeight="1">
      <c r="A2008" s="2" t="s">
        <v>4886</v>
      </c>
      <c r="B2008" s="2" t="s">
        <v>4886</v>
      </c>
      <c r="C2008" s="2" t="s">
        <v>43</v>
      </c>
      <c r="D2008" s="2" t="s">
        <v>44</v>
      </c>
      <c r="E2008" s="5">
        <v>-30013</v>
      </c>
      <c r="F2008" s="3" t="s">
        <v>464</v>
      </c>
      <c r="G2008" s="3" t="s">
        <v>39</v>
      </c>
      <c r="H2008" s="2" t="s">
        <v>21</v>
      </c>
      <c r="I2008" s="2" t="s">
        <v>4888</v>
      </c>
      <c r="J2008" s="3" t="str">
        <f>HYPERLINK("https://www.boe.es/gazeta/dias/1817/10/28/pdfs/GMD-1817-129.pdf#page=5","Abrir facsímil")</f>
        <v>Abrir facsímil</v>
      </c>
      <c r="K2008" s="3" t="s">
        <v>23</v>
      </c>
    </row>
    <row r="2009" spans="1:11" ht="42" customHeight="1">
      <c r="A2009" s="2" t="s">
        <v>4889</v>
      </c>
      <c r="B2009" s="2" t="s">
        <v>4889</v>
      </c>
      <c r="C2009" s="2" t="s">
        <v>36</v>
      </c>
      <c r="D2009" s="2" t="s">
        <v>37</v>
      </c>
      <c r="E2009" s="5">
        <v>-30296</v>
      </c>
      <c r="F2009" s="3" t="s">
        <v>357</v>
      </c>
      <c r="G2009" s="3" t="s">
        <v>39</v>
      </c>
      <c r="H2009" s="2" t="s">
        <v>21</v>
      </c>
      <c r="I2009" s="2" t="s">
        <v>4890</v>
      </c>
      <c r="J2009" s="3" t="str">
        <f>HYPERLINK("https://www.boe.es/gazeta/dias/1817/01/18/pdfs/GMD-1817-8.pdf#page=5","Abrir facsímil")</f>
        <v>Abrir facsímil</v>
      </c>
      <c r="K2009" s="3" t="s">
        <v>23</v>
      </c>
    </row>
    <row r="2010" spans="1:11" ht="42" customHeight="1">
      <c r="A2010" s="2" t="s">
        <v>4889</v>
      </c>
      <c r="B2010" s="2" t="s">
        <v>4889</v>
      </c>
      <c r="C2010" s="2" t="s">
        <v>36</v>
      </c>
      <c r="D2010" s="2" t="s">
        <v>37</v>
      </c>
      <c r="E2010" s="5">
        <v>-30296</v>
      </c>
      <c r="F2010" s="3" t="s">
        <v>357</v>
      </c>
      <c r="G2010" s="3" t="s">
        <v>57</v>
      </c>
      <c r="H2010" s="2" t="s">
        <v>21</v>
      </c>
      <c r="I2010" s="2" t="s">
        <v>4891</v>
      </c>
      <c r="J2010" s="3" t="str">
        <f>HYPERLINK("https://www.boe.es/gazeta/dias/1817/01/18/pdfs/GMD-1817-8.pdf#page=6","Abrir facsímil")</f>
        <v>Abrir facsímil</v>
      </c>
      <c r="K2010" s="3" t="s">
        <v>23</v>
      </c>
    </row>
    <row r="2011" spans="1:11" ht="42" customHeight="1">
      <c r="A2011" s="2" t="s">
        <v>4889</v>
      </c>
      <c r="B2011" s="2" t="s">
        <v>4889</v>
      </c>
      <c r="C2011" s="2" t="s">
        <v>36</v>
      </c>
      <c r="D2011" s="2" t="s">
        <v>37</v>
      </c>
      <c r="E2011" s="5">
        <v>-30235</v>
      </c>
      <c r="F2011" s="3" t="s">
        <v>398</v>
      </c>
      <c r="G2011" s="3" t="s">
        <v>20</v>
      </c>
      <c r="H2011" s="2" t="s">
        <v>21</v>
      </c>
      <c r="I2011" s="2" t="s">
        <v>4892</v>
      </c>
      <c r="J2011" s="3" t="str">
        <f>HYPERLINK("https://www.boe.es/gazeta/dias/1817/03/20/pdfs/GMD-1817-34.pdf#page=7","Abrir facsímil")</f>
        <v>Abrir facsímil</v>
      </c>
      <c r="K2011" s="3" t="s">
        <v>23</v>
      </c>
    </row>
    <row r="2012" spans="1:11" ht="42" customHeight="1">
      <c r="A2012" s="2" t="s">
        <v>4893</v>
      </c>
      <c r="B2012" s="2" t="s">
        <v>4893</v>
      </c>
      <c r="C2012" s="2" t="s">
        <v>36</v>
      </c>
      <c r="D2012" s="2" t="s">
        <v>37</v>
      </c>
      <c r="E2012" s="5">
        <v>-30167</v>
      </c>
      <c r="F2012" s="3" t="s">
        <v>153</v>
      </c>
      <c r="G2012" s="3" t="s">
        <v>20</v>
      </c>
      <c r="H2012" s="2" t="s">
        <v>21</v>
      </c>
      <c r="I2012" s="2" t="s">
        <v>4894</v>
      </c>
      <c r="J2012" s="3" t="str">
        <f>HYPERLINK("https://www.boe.es/gazeta/dias/1817/05/27/pdfs/GMD-1817-63.pdf#page=7","Abrir facsímil")</f>
        <v>Abrir facsímil</v>
      </c>
      <c r="K2012" s="3" t="s">
        <v>23</v>
      </c>
    </row>
    <row r="2013" spans="1:11" ht="42" customHeight="1">
      <c r="A2013" s="2" t="s">
        <v>4889</v>
      </c>
      <c r="B2013" s="2" t="s">
        <v>4889</v>
      </c>
      <c r="C2013" s="2" t="s">
        <v>17</v>
      </c>
      <c r="D2013" s="2" t="s">
        <v>18</v>
      </c>
      <c r="E2013" s="5">
        <v>-30135</v>
      </c>
      <c r="F2013" s="3" t="s">
        <v>239</v>
      </c>
      <c r="G2013" s="3" t="s">
        <v>240</v>
      </c>
      <c r="H2013" s="2" t="s">
        <v>21</v>
      </c>
      <c r="I2013" s="2" t="s">
        <v>4895</v>
      </c>
      <c r="J2013" s="3" t="str">
        <f>HYPERLINK("https://www.boe.es/gazeta/dias/1817/06/28/pdfs/GMD-1817-77.pdf#page=7","Abrir facsímil")</f>
        <v>Abrir facsímil</v>
      </c>
      <c r="K2013" s="3" t="s">
        <v>23</v>
      </c>
    </row>
    <row r="2014" spans="1:11" ht="42" customHeight="1">
      <c r="A2014" s="2" t="s">
        <v>4889</v>
      </c>
      <c r="B2014" s="2" t="s">
        <v>4889</v>
      </c>
      <c r="C2014" s="2" t="s">
        <v>43</v>
      </c>
      <c r="D2014" s="2" t="s">
        <v>44</v>
      </c>
      <c r="E2014" s="5">
        <v>-29969</v>
      </c>
      <c r="F2014" s="3" t="s">
        <v>252</v>
      </c>
      <c r="G2014" s="3" t="s">
        <v>314</v>
      </c>
      <c r="H2014" s="2" t="s">
        <v>21</v>
      </c>
      <c r="I2014" s="2" t="s">
        <v>4896</v>
      </c>
      <c r="J2014" s="3" t="str">
        <f>HYPERLINK("https://www.boe.es/gazeta/dias/1817/12/11/pdfs/GMD-1817-148.pdf#page=10","Abrir facsímil")</f>
        <v>Abrir facsímil</v>
      </c>
      <c r="K2014" s="3" t="s">
        <v>23</v>
      </c>
    </row>
    <row r="2015" spans="1:11" ht="42" customHeight="1">
      <c r="A2015" s="2" t="s">
        <v>4889</v>
      </c>
      <c r="B2015" s="2" t="s">
        <v>4889</v>
      </c>
      <c r="C2015" s="2" t="s">
        <v>17</v>
      </c>
      <c r="D2015" s="2" t="s">
        <v>18</v>
      </c>
      <c r="E2015" s="5">
        <v>-29969</v>
      </c>
      <c r="F2015" s="3" t="s">
        <v>252</v>
      </c>
      <c r="G2015" s="3" t="s">
        <v>112</v>
      </c>
      <c r="H2015" s="2" t="s">
        <v>21</v>
      </c>
      <c r="I2015" s="2" t="s">
        <v>4897</v>
      </c>
      <c r="J2015" s="3" t="str">
        <f>HYPERLINK("https://www.boe.es/gazeta/dias/1817/12/11/pdfs/GMD-1817-148.pdf#page=11","Abrir facsímil")</f>
        <v>Abrir facsímil</v>
      </c>
      <c r="K2015" s="3" t="s">
        <v>23</v>
      </c>
    </row>
    <row r="2016" spans="1:11" ht="42" customHeight="1">
      <c r="A2016" s="2" t="s">
        <v>4898</v>
      </c>
      <c r="B2016" s="2" t="s">
        <v>4898</v>
      </c>
      <c r="C2016" s="2" t="s">
        <v>36</v>
      </c>
      <c r="D2016" s="2" t="s">
        <v>37</v>
      </c>
      <c r="E2016" s="5">
        <v>-30114</v>
      </c>
      <c r="F2016" s="3" t="s">
        <v>500</v>
      </c>
      <c r="G2016" s="3" t="s">
        <v>551</v>
      </c>
      <c r="H2016" s="2" t="s">
        <v>21</v>
      </c>
      <c r="I2016" s="2" t="s">
        <v>4899</v>
      </c>
      <c r="J2016" s="3" t="str">
        <f>HYPERLINK("https://www.boe.es/gazeta/dias/1817/07/19/pdfs/GMD-1817-86.pdf#page=3","Abrir facsímil")</f>
        <v>Abrir facsímil</v>
      </c>
      <c r="K2016" s="3" t="s">
        <v>23</v>
      </c>
    </row>
    <row r="2017" spans="1:11" ht="42" customHeight="1">
      <c r="A2017" s="2" t="s">
        <v>4900</v>
      </c>
      <c r="B2017" s="2" t="s">
        <v>4900</v>
      </c>
      <c r="C2017" s="2" t="s">
        <v>36</v>
      </c>
      <c r="D2017" s="2" t="s">
        <v>37</v>
      </c>
      <c r="E2017" s="5">
        <v>-30137</v>
      </c>
      <c r="F2017" s="3" t="s">
        <v>935</v>
      </c>
      <c r="G2017" s="3" t="s">
        <v>72</v>
      </c>
      <c r="H2017" s="2" t="s">
        <v>21</v>
      </c>
      <c r="I2017" s="2" t="s">
        <v>4901</v>
      </c>
      <c r="J2017" s="3" t="str">
        <f>HYPERLINK("https://www.boe.es/gazeta/dias/1817/06/26/pdfs/GMD-1817-76.pdf#page=1","Abrir facsímil")</f>
        <v>Abrir facsímil</v>
      </c>
      <c r="K2017" s="3" t="s">
        <v>23</v>
      </c>
    </row>
    <row r="2018" spans="1:11" ht="42" customHeight="1">
      <c r="A2018" s="2" t="s">
        <v>4902</v>
      </c>
      <c r="B2018" s="2" t="s">
        <v>4903</v>
      </c>
      <c r="C2018" s="2" t="s">
        <v>138</v>
      </c>
      <c r="D2018" s="2" t="s">
        <v>44</v>
      </c>
      <c r="E2018" s="5">
        <v>-30065</v>
      </c>
      <c r="F2018" s="3" t="s">
        <v>201</v>
      </c>
      <c r="G2018" s="3" t="s">
        <v>57</v>
      </c>
      <c r="H2018" s="2" t="s">
        <v>21</v>
      </c>
      <c r="I2018" s="2" t="s">
        <v>4904</v>
      </c>
      <c r="J2018" s="3" t="str">
        <f>HYPERLINK("https://www.boe.es/gazeta/dias/1817/09/06/pdfs/GMD-1817-107.pdf#page=6","Abrir facsímil")</f>
        <v>Abrir facsímil</v>
      </c>
      <c r="K2018" s="3" t="s">
        <v>23</v>
      </c>
    </row>
    <row r="2019" spans="1:11" ht="42" customHeight="1">
      <c r="A2019" s="2" t="s">
        <v>4905</v>
      </c>
      <c r="B2019" s="2" t="s">
        <v>4906</v>
      </c>
      <c r="C2019" s="2" t="s">
        <v>43</v>
      </c>
      <c r="D2019" s="2" t="s">
        <v>44</v>
      </c>
      <c r="E2019" s="5">
        <v>-30011</v>
      </c>
      <c r="F2019" s="3" t="s">
        <v>313</v>
      </c>
      <c r="G2019" s="3" t="s">
        <v>1736</v>
      </c>
      <c r="H2019" s="2" t="s">
        <v>21</v>
      </c>
      <c r="I2019" s="2" t="s">
        <v>4907</v>
      </c>
      <c r="J2019" s="3" t="str">
        <f>HYPERLINK("https://www.boe.es/gazeta/dias/1817/10/30/pdfs/GMD-1817-130.pdf#page=11","Abrir facsímil")</f>
        <v>Abrir facsímil</v>
      </c>
      <c r="K2019" s="3" t="s">
        <v>23</v>
      </c>
    </row>
    <row r="2020" spans="1:11" ht="42" customHeight="1">
      <c r="A2020" s="2" t="s">
        <v>4908</v>
      </c>
      <c r="B2020" s="2" t="s">
        <v>4908</v>
      </c>
      <c r="C2020" s="2" t="s">
        <v>36</v>
      </c>
      <c r="D2020" s="2" t="s">
        <v>37</v>
      </c>
      <c r="E2020" s="5">
        <v>-29995</v>
      </c>
      <c r="F2020" s="3" t="s">
        <v>514</v>
      </c>
      <c r="G2020" s="3" t="s">
        <v>515</v>
      </c>
      <c r="H2020" s="2" t="s">
        <v>21</v>
      </c>
      <c r="I2020" s="2" t="s">
        <v>4909</v>
      </c>
      <c r="J2020" s="3" t="str">
        <f>HYPERLINK("https://www.boe.es/gazeta/dias/1817/11/15/pdfs/GMD-1817-137.pdf#page=8","Abrir facsímil")</f>
        <v>Abrir facsímil</v>
      </c>
      <c r="K2020" s="3" t="s">
        <v>23</v>
      </c>
    </row>
    <row r="2021" spans="1:11" ht="42" customHeight="1">
      <c r="A2021" s="2" t="s">
        <v>4910</v>
      </c>
      <c r="B2021" s="2" t="s">
        <v>4910</v>
      </c>
      <c r="C2021" s="2" t="s">
        <v>36</v>
      </c>
      <c r="D2021" s="2" t="s">
        <v>37</v>
      </c>
      <c r="E2021" s="5">
        <v>-30067</v>
      </c>
      <c r="F2021" s="3" t="s">
        <v>1221</v>
      </c>
      <c r="G2021" s="3" t="s">
        <v>551</v>
      </c>
      <c r="H2021" s="2" t="s">
        <v>21</v>
      </c>
      <c r="I2021" s="2" t="s">
        <v>4911</v>
      </c>
      <c r="J2021" s="3" t="str">
        <f>HYPERLINK("https://www.boe.es/gazeta/dias/1817/09/04/pdfs/GMD-1817-106.pdf#page=3","Abrir facsímil")</f>
        <v>Abrir facsímil</v>
      </c>
      <c r="K2021" s="3" t="s">
        <v>23</v>
      </c>
    </row>
    <row r="2022" spans="1:11" ht="42" customHeight="1">
      <c r="A2022" s="2" t="s">
        <v>4912</v>
      </c>
      <c r="B2022" s="2" t="s">
        <v>4913</v>
      </c>
      <c r="C2022" s="2" t="s">
        <v>43</v>
      </c>
      <c r="D2022" s="2" t="s">
        <v>44</v>
      </c>
      <c r="E2022" s="5">
        <v>-30237</v>
      </c>
      <c r="F2022" s="3" t="s">
        <v>56</v>
      </c>
      <c r="G2022" s="3" t="s">
        <v>20</v>
      </c>
      <c r="H2022" s="2" t="s">
        <v>27</v>
      </c>
      <c r="I2022" s="2" t="s">
        <v>4914</v>
      </c>
      <c r="J2022" s="3" t="str">
        <f>HYPERLINK("https://www.boe.es/gazeta/dias/1817/03/18/pdfs/GMD-1817-33.pdf#page=7","Abrir facsímil")</f>
        <v>Abrir facsímil</v>
      </c>
      <c r="K2022" s="3" t="s">
        <v>29</v>
      </c>
    </row>
    <row r="2023" spans="1:11" ht="42" customHeight="1">
      <c r="A2023" s="2" t="s">
        <v>4912</v>
      </c>
      <c r="B2023" s="2" t="s">
        <v>4913</v>
      </c>
      <c r="C2023" s="2" t="s">
        <v>17</v>
      </c>
      <c r="D2023" s="2" t="s">
        <v>18</v>
      </c>
      <c r="E2023" s="5">
        <v>-30076</v>
      </c>
      <c r="F2023" s="3" t="s">
        <v>439</v>
      </c>
      <c r="G2023" s="3" t="s">
        <v>57</v>
      </c>
      <c r="H2023" s="2" t="s">
        <v>27</v>
      </c>
      <c r="I2023" s="2" t="s">
        <v>4915</v>
      </c>
      <c r="J2023" s="3" t="str">
        <f>HYPERLINK("https://www.boe.es/gazeta/dias/1817/08/26/pdfs/GMD-1817-102.pdf#page=6","Abrir facsímil")</f>
        <v>Abrir facsímil</v>
      </c>
      <c r="K2023" s="3" t="s">
        <v>29</v>
      </c>
    </row>
    <row r="2024" spans="1:11" ht="42" customHeight="1">
      <c r="A2024" s="2" t="s">
        <v>4916</v>
      </c>
      <c r="B2024" s="2" t="s">
        <v>4917</v>
      </c>
      <c r="C2024" s="2" t="s">
        <v>55</v>
      </c>
      <c r="D2024" s="2" t="s">
        <v>44</v>
      </c>
      <c r="E2024" s="5">
        <v>-29976</v>
      </c>
      <c r="F2024" s="3" t="s">
        <v>81</v>
      </c>
      <c r="G2024" s="3" t="s">
        <v>82</v>
      </c>
      <c r="H2024" s="2" t="s">
        <v>21</v>
      </c>
      <c r="I2024" s="2" t="s">
        <v>4918</v>
      </c>
      <c r="J2024" s="3" t="str">
        <f>HYPERLINK("https://www.boe.es/gazeta/dias/1817/12/04/pdfs/GMD-1817-145.pdf#page=12","Abrir facsímil")</f>
        <v>Abrir facsímil</v>
      </c>
      <c r="K2024" s="3" t="s">
        <v>23</v>
      </c>
    </row>
    <row r="2025" spans="1:11" ht="42" customHeight="1">
      <c r="A2025" s="2" t="s">
        <v>4919</v>
      </c>
      <c r="B2025" s="2" t="s">
        <v>4920</v>
      </c>
      <c r="C2025" s="2" t="s">
        <v>55</v>
      </c>
      <c r="D2025" s="2" t="s">
        <v>44</v>
      </c>
      <c r="E2025" s="5">
        <v>-30069</v>
      </c>
      <c r="F2025" s="3" t="s">
        <v>817</v>
      </c>
      <c r="G2025" s="3" t="s">
        <v>818</v>
      </c>
      <c r="H2025" s="2" t="s">
        <v>21</v>
      </c>
      <c r="I2025" s="2" t="s">
        <v>4921</v>
      </c>
      <c r="J2025" s="3" t="str">
        <f>HYPERLINK("https://www.boe.es/gazeta/dias/1817/09/02/pdfs/GMD-1817-105.pdf#page=8","Abrir facsímil")</f>
        <v>Abrir facsímil</v>
      </c>
      <c r="K2025" s="3" t="s">
        <v>23</v>
      </c>
    </row>
    <row r="2026" spans="1:11" ht="42" customHeight="1">
      <c r="A2026" s="2" t="s">
        <v>4922</v>
      </c>
      <c r="B2026" s="2" t="s">
        <v>4923</v>
      </c>
      <c r="C2026" s="2" t="s">
        <v>17</v>
      </c>
      <c r="D2026" s="2" t="s">
        <v>18</v>
      </c>
      <c r="E2026" s="5">
        <v>-30046</v>
      </c>
      <c r="F2026" s="3" t="s">
        <v>214</v>
      </c>
      <c r="G2026" s="3" t="s">
        <v>3491</v>
      </c>
      <c r="H2026" s="2" t="s">
        <v>27</v>
      </c>
      <c r="I2026" s="2" t="s">
        <v>4924</v>
      </c>
      <c r="J2026" s="3" t="str">
        <f>HYPERLINK("https://www.boe.es/gazeta/dias/1817/09/25/pdfs/GMD-1817-115.pdf#page=5","Abrir facsímil")</f>
        <v>Abrir facsímil</v>
      </c>
      <c r="K2026" s="3" t="s">
        <v>29</v>
      </c>
    </row>
    <row r="2027" spans="1:11" ht="42" customHeight="1">
      <c r="A2027" s="2" t="s">
        <v>4925</v>
      </c>
      <c r="B2027" s="2" t="s">
        <v>4925</v>
      </c>
      <c r="C2027" s="2" t="s">
        <v>36</v>
      </c>
      <c r="D2027" s="2" t="s">
        <v>37</v>
      </c>
      <c r="E2027" s="5">
        <v>-30088</v>
      </c>
      <c r="F2027" s="3" t="s">
        <v>244</v>
      </c>
      <c r="G2027" s="3" t="s">
        <v>551</v>
      </c>
      <c r="H2027" s="2" t="s">
        <v>21</v>
      </c>
      <c r="I2027" s="2" t="s">
        <v>4926</v>
      </c>
      <c r="J2027" s="3" t="str">
        <f>HYPERLINK("https://www.boe.es/gazeta/dias/1817/08/14/pdfs/GMD-1817-97.pdf#page=3","Abrir facsímil")</f>
        <v>Abrir facsímil</v>
      </c>
      <c r="K2027" s="3" t="s">
        <v>23</v>
      </c>
    </row>
    <row r="2028" spans="1:11" ht="42" customHeight="1">
      <c r="A2028" s="2" t="s">
        <v>4925</v>
      </c>
      <c r="B2028" s="2" t="s">
        <v>4925</v>
      </c>
      <c r="C2028" s="2" t="s">
        <v>36</v>
      </c>
      <c r="D2028" s="2" t="s">
        <v>37</v>
      </c>
      <c r="E2028" s="5">
        <v>-30072</v>
      </c>
      <c r="F2028" s="3" t="s">
        <v>442</v>
      </c>
      <c r="G2028" s="3" t="s">
        <v>551</v>
      </c>
      <c r="H2028" s="2" t="s">
        <v>21</v>
      </c>
      <c r="I2028" s="2" t="s">
        <v>4927</v>
      </c>
      <c r="J2028" s="3" t="str">
        <f>HYPERLINK("https://www.boe.es/gazeta/dias/1817/08/30/pdfs/GMD-1817-104.pdf#page=3","Abrir facsímil")</f>
        <v>Abrir facsímil</v>
      </c>
      <c r="K2028" s="3" t="s">
        <v>23</v>
      </c>
    </row>
    <row r="2029" spans="1:11" ht="42" customHeight="1">
      <c r="A2029" s="2" t="s">
        <v>4928</v>
      </c>
      <c r="B2029" s="2" t="s">
        <v>4928</v>
      </c>
      <c r="C2029" s="2" t="s">
        <v>36</v>
      </c>
      <c r="D2029" s="2" t="s">
        <v>37</v>
      </c>
      <c r="E2029" s="5">
        <v>-30261</v>
      </c>
      <c r="F2029" s="3" t="s">
        <v>226</v>
      </c>
      <c r="G2029" s="3" t="s">
        <v>20</v>
      </c>
      <c r="H2029" s="2" t="s">
        <v>21</v>
      </c>
      <c r="I2029" s="2" t="s">
        <v>4929</v>
      </c>
      <c r="J2029" s="3" t="str">
        <f>HYPERLINK("https://www.boe.es/gazeta/dias/1817/02/22/pdfs/GMD-1817-23.pdf#page=7","Abrir facsímil")</f>
        <v>Abrir facsímil</v>
      </c>
      <c r="K2029" s="3" t="s">
        <v>23</v>
      </c>
    </row>
    <row r="2030" spans="1:11" ht="42" customHeight="1">
      <c r="A2030" s="2" t="s">
        <v>4928</v>
      </c>
      <c r="B2030" s="2" t="s">
        <v>4928</v>
      </c>
      <c r="C2030" s="2" t="s">
        <v>17</v>
      </c>
      <c r="D2030" s="2" t="s">
        <v>18</v>
      </c>
      <c r="E2030" s="5">
        <v>-30235</v>
      </c>
      <c r="F2030" s="3" t="s">
        <v>398</v>
      </c>
      <c r="G2030" s="3" t="s">
        <v>20</v>
      </c>
      <c r="H2030" s="2" t="s">
        <v>21</v>
      </c>
      <c r="I2030" s="2" t="s">
        <v>4930</v>
      </c>
      <c r="J2030" s="3" t="str">
        <f>HYPERLINK("https://www.boe.es/gazeta/dias/1817/03/20/pdfs/GMD-1817-34.pdf#page=7","Abrir facsímil")</f>
        <v>Abrir facsímil</v>
      </c>
      <c r="K2030" s="3" t="s">
        <v>23</v>
      </c>
    </row>
    <row r="2031" spans="1:11" ht="42" customHeight="1">
      <c r="A2031" s="2" t="s">
        <v>4928</v>
      </c>
      <c r="B2031" s="2" t="s">
        <v>4928</v>
      </c>
      <c r="C2031" s="2" t="s">
        <v>36</v>
      </c>
      <c r="D2031" s="2" t="s">
        <v>37</v>
      </c>
      <c r="E2031" s="5">
        <v>-30188</v>
      </c>
      <c r="F2031" s="3" t="s">
        <v>177</v>
      </c>
      <c r="G2031" s="3" t="s">
        <v>551</v>
      </c>
      <c r="H2031" s="2" t="s">
        <v>21</v>
      </c>
      <c r="I2031" s="2" t="s">
        <v>4931</v>
      </c>
      <c r="J2031" s="3" t="str">
        <f>HYPERLINK("https://www.boe.es/gazeta/dias/1817/05/06/pdfs/GMD-1817-54.pdf#page=3","Abrir facsímil")</f>
        <v>Abrir facsímil</v>
      </c>
      <c r="K2031" s="3" t="s">
        <v>23</v>
      </c>
    </row>
    <row r="2032" spans="1:11" ht="42" customHeight="1">
      <c r="A2032" s="2" t="s">
        <v>4928</v>
      </c>
      <c r="B2032" s="2" t="s">
        <v>4928</v>
      </c>
      <c r="C2032" s="2" t="s">
        <v>97</v>
      </c>
      <c r="D2032" s="2" t="s">
        <v>44</v>
      </c>
      <c r="E2032" s="5">
        <v>-30186</v>
      </c>
      <c r="F2032" s="3" t="s">
        <v>2003</v>
      </c>
      <c r="G2032" s="3" t="s">
        <v>77</v>
      </c>
      <c r="H2032" s="2" t="s">
        <v>21</v>
      </c>
      <c r="I2032" s="2" t="s">
        <v>4932</v>
      </c>
      <c r="J2032" s="3" t="str">
        <f>HYPERLINK("https://www.boe.es/gazeta/dias/1817/05/08/pdfs/GMD-1817-55.pdf#page=8","Abrir facsímil")</f>
        <v>Abrir facsímil</v>
      </c>
      <c r="K2032" s="3" t="s">
        <v>23</v>
      </c>
    </row>
    <row r="2033" spans="1:11" ht="42" customHeight="1">
      <c r="A2033" s="2" t="s">
        <v>4928</v>
      </c>
      <c r="B2033" s="2" t="s">
        <v>4928</v>
      </c>
      <c r="C2033" s="2" t="s">
        <v>138</v>
      </c>
      <c r="D2033" s="2" t="s">
        <v>44</v>
      </c>
      <c r="E2033" s="5">
        <v>-30160</v>
      </c>
      <c r="F2033" s="3" t="s">
        <v>116</v>
      </c>
      <c r="G2033" s="3" t="s">
        <v>567</v>
      </c>
      <c r="H2033" s="2" t="s">
        <v>21</v>
      </c>
      <c r="I2033" s="2" t="s">
        <v>4933</v>
      </c>
      <c r="J2033" s="3" t="str">
        <f>HYPERLINK("https://www.boe.es/gazeta/dias/1817/06/03/pdfs/GMD-1817-66.pdf#page=6","Abrir facsímil")</f>
        <v>Abrir facsímil</v>
      </c>
      <c r="K2033" s="3" t="s">
        <v>23</v>
      </c>
    </row>
    <row r="2034" spans="1:11" ht="42" customHeight="1">
      <c r="A2034" s="2" t="s">
        <v>4928</v>
      </c>
      <c r="B2034" s="2" t="s">
        <v>4928</v>
      </c>
      <c r="C2034" s="2" t="s">
        <v>36</v>
      </c>
      <c r="D2034" s="2" t="s">
        <v>37</v>
      </c>
      <c r="E2034" s="5">
        <v>-30149</v>
      </c>
      <c r="F2034" s="3" t="s">
        <v>430</v>
      </c>
      <c r="G2034" s="3" t="s">
        <v>39</v>
      </c>
      <c r="H2034" s="2" t="s">
        <v>21</v>
      </c>
      <c r="I2034" s="2" t="s">
        <v>4934</v>
      </c>
      <c r="J2034" s="3" t="str">
        <f>HYPERLINK("https://www.boe.es/gazeta/dias/1817/06/14/pdfs/GMD-1817-71.pdf#page=5","Abrir facsímil")</f>
        <v>Abrir facsímil</v>
      </c>
      <c r="K2034" s="3" t="s">
        <v>23</v>
      </c>
    </row>
    <row r="2035" spans="1:11" ht="42" customHeight="1">
      <c r="A2035" s="2" t="s">
        <v>4928</v>
      </c>
      <c r="B2035" s="2" t="s">
        <v>4928</v>
      </c>
      <c r="C2035" s="2" t="s">
        <v>36</v>
      </c>
      <c r="D2035" s="2" t="s">
        <v>37</v>
      </c>
      <c r="E2035" s="5">
        <v>-30149</v>
      </c>
      <c r="F2035" s="3" t="s">
        <v>430</v>
      </c>
      <c r="G2035" s="3" t="s">
        <v>20</v>
      </c>
      <c r="H2035" s="2" t="s">
        <v>21</v>
      </c>
      <c r="I2035" s="2" t="s">
        <v>4935</v>
      </c>
      <c r="J2035" s="3" t="str">
        <f>HYPERLINK("https://www.boe.es/gazeta/dias/1817/06/14/pdfs/GMD-1817-71.pdf#page=7","Abrir facsímil")</f>
        <v>Abrir facsímil</v>
      </c>
      <c r="K2035" s="3" t="s">
        <v>23</v>
      </c>
    </row>
    <row r="2036" spans="1:11" ht="42" customHeight="1">
      <c r="A2036" s="2" t="s">
        <v>4928</v>
      </c>
      <c r="B2036" s="2" t="s">
        <v>4928</v>
      </c>
      <c r="C2036" s="2" t="s">
        <v>36</v>
      </c>
      <c r="D2036" s="2" t="s">
        <v>37</v>
      </c>
      <c r="E2036" s="5">
        <v>-30144</v>
      </c>
      <c r="F2036" s="3" t="s">
        <v>846</v>
      </c>
      <c r="G2036" s="3" t="s">
        <v>39</v>
      </c>
      <c r="H2036" s="2" t="s">
        <v>21</v>
      </c>
      <c r="I2036" s="2" t="s">
        <v>4936</v>
      </c>
      <c r="J2036" s="3" t="str">
        <f>HYPERLINK("https://www.boe.es/gazeta/dias/1817/06/19/pdfs/GMD-1817-73.pdf#page=5","Abrir facsímil")</f>
        <v>Abrir facsímil</v>
      </c>
      <c r="K2036" s="3" t="s">
        <v>23</v>
      </c>
    </row>
    <row r="2037" spans="1:11" ht="42" customHeight="1">
      <c r="A2037" s="2" t="s">
        <v>4928</v>
      </c>
      <c r="B2037" s="2" t="s">
        <v>4928</v>
      </c>
      <c r="C2037" s="2" t="s">
        <v>17</v>
      </c>
      <c r="D2037" s="2" t="s">
        <v>18</v>
      </c>
      <c r="E2037" s="5">
        <v>-30132</v>
      </c>
      <c r="F2037" s="3" t="s">
        <v>718</v>
      </c>
      <c r="G2037" s="3" t="s">
        <v>77</v>
      </c>
      <c r="H2037" s="2" t="s">
        <v>21</v>
      </c>
      <c r="I2037" s="2" t="s">
        <v>4937</v>
      </c>
      <c r="J2037" s="3" t="str">
        <f>HYPERLINK("https://www.boe.es/gazeta/dias/1817/07/01/pdfs/GMD-1817-78.pdf#page=8","Abrir facsímil")</f>
        <v>Abrir facsímil</v>
      </c>
      <c r="K2037" s="3" t="s">
        <v>23</v>
      </c>
    </row>
    <row r="2038" spans="1:11" ht="42" customHeight="1">
      <c r="A2038" s="2" t="s">
        <v>4928</v>
      </c>
      <c r="B2038" s="2" t="s">
        <v>4928</v>
      </c>
      <c r="C2038" s="2" t="s">
        <v>36</v>
      </c>
      <c r="D2038" s="2" t="s">
        <v>37</v>
      </c>
      <c r="E2038" s="5">
        <v>-30090</v>
      </c>
      <c r="F2038" s="3" t="s">
        <v>89</v>
      </c>
      <c r="G2038" s="3" t="s">
        <v>20</v>
      </c>
      <c r="H2038" s="2" t="s">
        <v>21</v>
      </c>
      <c r="I2038" s="2" t="s">
        <v>4938</v>
      </c>
      <c r="J2038" s="3" t="str">
        <f>HYPERLINK("https://www.boe.es/gazeta/dias/1817/08/12/pdfs/GMD-1817-96.pdf#page=7","Abrir facsímil")</f>
        <v>Abrir facsímil</v>
      </c>
      <c r="K2038" s="3" t="s">
        <v>23</v>
      </c>
    </row>
    <row r="2039" spans="1:11" ht="42" customHeight="1">
      <c r="A2039" s="2" t="s">
        <v>4928</v>
      </c>
      <c r="B2039" s="2" t="s">
        <v>4928</v>
      </c>
      <c r="C2039" s="2" t="s">
        <v>36</v>
      </c>
      <c r="D2039" s="2" t="s">
        <v>37</v>
      </c>
      <c r="E2039" s="5">
        <v>-30004</v>
      </c>
      <c r="F2039" s="3" t="s">
        <v>329</v>
      </c>
      <c r="G2039" s="3" t="s">
        <v>39</v>
      </c>
      <c r="H2039" s="2" t="s">
        <v>21</v>
      </c>
      <c r="I2039" s="2" t="s">
        <v>4939</v>
      </c>
      <c r="J2039" s="3" t="str">
        <f>HYPERLINK("https://www.boe.es/gazeta/dias/1817/11/06/pdfs/GMD-1817-133.pdf#page=5","Abrir facsímil")</f>
        <v>Abrir facsímil</v>
      </c>
      <c r="K2039" s="3" t="s">
        <v>23</v>
      </c>
    </row>
    <row r="2040" spans="1:11" ht="42" customHeight="1">
      <c r="A2040" s="2" t="s">
        <v>4928</v>
      </c>
      <c r="B2040" s="2" t="s">
        <v>4928</v>
      </c>
      <c r="C2040" s="2" t="s">
        <v>17</v>
      </c>
      <c r="D2040" s="2" t="s">
        <v>18</v>
      </c>
      <c r="E2040" s="5">
        <v>-29976</v>
      </c>
      <c r="F2040" s="3" t="s">
        <v>81</v>
      </c>
      <c r="G2040" s="3" t="s">
        <v>82</v>
      </c>
      <c r="H2040" s="2" t="s">
        <v>21</v>
      </c>
      <c r="I2040" s="2" t="s">
        <v>4940</v>
      </c>
      <c r="J2040" s="3" t="str">
        <f>HYPERLINK("https://www.boe.es/gazeta/dias/1817/12/04/pdfs/GMD-1817-145.pdf#page=12","Abrir facsímil")</f>
        <v>Abrir facsímil</v>
      </c>
      <c r="K2040" s="3" t="s">
        <v>23</v>
      </c>
    </row>
    <row r="2041" spans="1:11" ht="42" customHeight="1">
      <c r="A2041" s="2" t="s">
        <v>4941</v>
      </c>
      <c r="B2041" s="2" t="s">
        <v>4941</v>
      </c>
      <c r="C2041" s="2" t="s">
        <v>43</v>
      </c>
      <c r="D2041" s="2" t="s">
        <v>44</v>
      </c>
      <c r="E2041" s="5">
        <v>-30228</v>
      </c>
      <c r="F2041" s="3" t="s">
        <v>383</v>
      </c>
      <c r="G2041" s="3" t="s">
        <v>57</v>
      </c>
      <c r="H2041" s="2" t="s">
        <v>21</v>
      </c>
      <c r="I2041" s="2" t="s">
        <v>4942</v>
      </c>
      <c r="J2041" s="3" t="str">
        <f>HYPERLINK("https://www.boe.es/gazeta/dias/1817/03/27/pdfs/GMD-1817-37.pdf#page=6","Abrir facsímil")</f>
        <v>Abrir facsímil</v>
      </c>
      <c r="K2041" s="3" t="s">
        <v>23</v>
      </c>
    </row>
    <row r="2042" spans="1:11" ht="42" customHeight="1">
      <c r="A2042" s="2" t="s">
        <v>4943</v>
      </c>
      <c r="B2042" s="2" t="s">
        <v>4944</v>
      </c>
      <c r="C2042" s="2" t="s">
        <v>43</v>
      </c>
      <c r="D2042" s="2" t="s">
        <v>44</v>
      </c>
      <c r="E2042" s="5">
        <v>-30195</v>
      </c>
      <c r="F2042" s="3" t="s">
        <v>1163</v>
      </c>
      <c r="G2042" s="3" t="s">
        <v>4945</v>
      </c>
      <c r="H2042" s="2" t="s">
        <v>21</v>
      </c>
      <c r="I2042" s="2" t="s">
        <v>4946</v>
      </c>
      <c r="J2042" s="3" t="str">
        <f>HYPERLINK("https://www.boe.es/gazeta/dias/1817/04/29/pdfs/GMD-1817-51.pdf#page=8","Abrir facsímil")</f>
        <v>Abrir facsímil</v>
      </c>
      <c r="K2042" s="3" t="s">
        <v>23</v>
      </c>
    </row>
    <row r="2043" spans="1:11" ht="42" customHeight="1">
      <c r="A2043" s="2" t="s">
        <v>4947</v>
      </c>
      <c r="B2043" s="2" t="s">
        <v>4948</v>
      </c>
      <c r="C2043" s="2" t="s">
        <v>17</v>
      </c>
      <c r="D2043" s="2" t="s">
        <v>18</v>
      </c>
      <c r="E2043" s="5">
        <v>-30137</v>
      </c>
      <c r="F2043" s="3" t="s">
        <v>935</v>
      </c>
      <c r="G2043" s="3" t="s">
        <v>57</v>
      </c>
      <c r="H2043" s="2" t="s">
        <v>21</v>
      </c>
      <c r="I2043" s="2" t="s">
        <v>4949</v>
      </c>
      <c r="J2043" s="3" t="str">
        <f>HYPERLINK("https://www.boe.es/gazeta/dias/1817/06/26/pdfs/GMD-1817-76.pdf#page=6","Abrir facsímil")</f>
        <v>Abrir facsímil</v>
      </c>
      <c r="K2043" s="3" t="s">
        <v>23</v>
      </c>
    </row>
    <row r="2044" spans="1:11" ht="42" customHeight="1">
      <c r="A2044" s="2" t="s">
        <v>4950</v>
      </c>
      <c r="B2044" s="2" t="s">
        <v>4951</v>
      </c>
      <c r="C2044" s="2" t="s">
        <v>36</v>
      </c>
      <c r="D2044" s="2" t="s">
        <v>37</v>
      </c>
      <c r="E2044" s="5">
        <v>-29974</v>
      </c>
      <c r="F2044" s="3" t="s">
        <v>32</v>
      </c>
      <c r="G2044" s="3" t="s">
        <v>39</v>
      </c>
      <c r="H2044" s="2" t="s">
        <v>21</v>
      </c>
      <c r="I2044" s="2" t="s">
        <v>4952</v>
      </c>
      <c r="J2044" s="3" t="str">
        <f>HYPERLINK("https://www.boe.es/gazeta/dias/1817/12/06/pdfs/GMD-1817-146.pdf#page=5","Abrir facsímil")</f>
        <v>Abrir facsímil</v>
      </c>
      <c r="K2044" s="3" t="s">
        <v>23</v>
      </c>
    </row>
    <row r="2045" spans="1:11" ht="42" customHeight="1">
      <c r="A2045" s="2" t="s">
        <v>4953</v>
      </c>
      <c r="B2045" s="2" t="s">
        <v>4954</v>
      </c>
      <c r="C2045" s="2" t="s">
        <v>36</v>
      </c>
      <c r="D2045" s="2" t="s">
        <v>37</v>
      </c>
      <c r="E2045" s="5">
        <v>-30184</v>
      </c>
      <c r="F2045" s="3" t="s">
        <v>423</v>
      </c>
      <c r="G2045" s="3" t="s">
        <v>77</v>
      </c>
      <c r="H2045" s="2" t="s">
        <v>21</v>
      </c>
      <c r="I2045" s="2" t="s">
        <v>4955</v>
      </c>
      <c r="J2045" s="3" t="str">
        <f>HYPERLINK("https://www.boe.es/gazeta/dias/1817/05/10/pdfs/GMD-1817-56.pdf#page=8","Abrir facsímil")</f>
        <v>Abrir facsímil</v>
      </c>
      <c r="K2045" s="3" t="s">
        <v>23</v>
      </c>
    </row>
    <row r="2046" spans="1:11" ht="42" customHeight="1">
      <c r="A2046" s="2" t="s">
        <v>4956</v>
      </c>
      <c r="B2046" s="2" t="s">
        <v>4956</v>
      </c>
      <c r="C2046" s="2" t="s">
        <v>17</v>
      </c>
      <c r="D2046" s="2" t="s">
        <v>18</v>
      </c>
      <c r="E2046" s="5">
        <v>-30263</v>
      </c>
      <c r="F2046" s="3" t="s">
        <v>1794</v>
      </c>
      <c r="G2046" s="3" t="s">
        <v>4496</v>
      </c>
      <c r="H2046" s="2" t="s">
        <v>21</v>
      </c>
      <c r="I2046" s="2" t="s">
        <v>4957</v>
      </c>
      <c r="J2046" s="3" t="str">
        <f>HYPERLINK("https://www.boe.es/gazeta/dias/1817/02/20/pdfs/GMD-1817-22.pdf#page=8","Abrir facsímil")</f>
        <v>Abrir facsímil</v>
      </c>
      <c r="K2046" s="3" t="s">
        <v>23</v>
      </c>
    </row>
    <row r="2047" spans="1:11" ht="42" customHeight="1">
      <c r="A2047" s="2" t="s">
        <v>4958</v>
      </c>
      <c r="B2047" s="2" t="s">
        <v>4958</v>
      </c>
      <c r="C2047" s="2" t="s">
        <v>49</v>
      </c>
      <c r="D2047" s="2" t="s">
        <v>44</v>
      </c>
      <c r="E2047" s="5">
        <v>-30242</v>
      </c>
      <c r="F2047" s="3" t="s">
        <v>62</v>
      </c>
      <c r="G2047" s="3" t="s">
        <v>77</v>
      </c>
      <c r="H2047" s="2" t="s">
        <v>21</v>
      </c>
      <c r="I2047" s="2" t="s">
        <v>4959</v>
      </c>
      <c r="J2047" s="3" t="str">
        <f>HYPERLINK("https://www.boe.es/gazeta/dias/1817/03/13/pdfs/GMD-1817-31.pdf#page=8","Abrir facsímil")</f>
        <v>Abrir facsímil</v>
      </c>
      <c r="K2047" s="3" t="s">
        <v>23</v>
      </c>
    </row>
    <row r="2048" spans="1:11" ht="42" customHeight="1">
      <c r="A2048" s="2" t="s">
        <v>4958</v>
      </c>
      <c r="B2048" s="2" t="s">
        <v>4958</v>
      </c>
      <c r="C2048" s="2" t="s">
        <v>49</v>
      </c>
      <c r="D2048" s="2" t="s">
        <v>44</v>
      </c>
      <c r="E2048" s="5">
        <v>-30006</v>
      </c>
      <c r="F2048" s="3" t="s">
        <v>210</v>
      </c>
      <c r="G2048" s="3" t="s">
        <v>77</v>
      </c>
      <c r="H2048" s="2" t="s">
        <v>21</v>
      </c>
      <c r="I2048" s="2" t="s">
        <v>4960</v>
      </c>
      <c r="J2048" s="3" t="str">
        <f>HYPERLINK("https://www.boe.es/gazeta/dias/1817/11/04/pdfs/GMD-1817-132.pdf#page=8","Abrir facsímil")</f>
        <v>Abrir facsímil</v>
      </c>
      <c r="K2048" s="3" t="s">
        <v>23</v>
      </c>
    </row>
    <row r="2049" spans="1:11" ht="42" customHeight="1">
      <c r="A2049" s="2" t="s">
        <v>4961</v>
      </c>
      <c r="B2049" s="2" t="s">
        <v>4961</v>
      </c>
      <c r="C2049" s="2" t="s">
        <v>36</v>
      </c>
      <c r="D2049" s="2" t="s">
        <v>37</v>
      </c>
      <c r="E2049" s="5">
        <v>-30307</v>
      </c>
      <c r="F2049" s="3" t="s">
        <v>67</v>
      </c>
      <c r="G2049" s="3" t="s">
        <v>68</v>
      </c>
      <c r="H2049" s="2" t="s">
        <v>21</v>
      </c>
      <c r="I2049" s="2" t="s">
        <v>4962</v>
      </c>
      <c r="J2049" s="3" t="str">
        <f>HYPERLINK("https://www.boe.es/gazeta/dias/1817/01/07/pdfs/GMD-1817-3.pdf#page=8","Abrir facsímil")</f>
        <v>Abrir facsímil</v>
      </c>
      <c r="K2049" s="3" t="s">
        <v>23</v>
      </c>
    </row>
    <row r="2050" spans="1:11" ht="42" customHeight="1">
      <c r="A2050" s="2" t="s">
        <v>4961</v>
      </c>
      <c r="B2050" s="2" t="s">
        <v>4961</v>
      </c>
      <c r="C2050" s="2" t="s">
        <v>43</v>
      </c>
      <c r="D2050" s="2" t="s">
        <v>44</v>
      </c>
      <c r="E2050" s="5">
        <v>-30305</v>
      </c>
      <c r="F2050" s="3" t="s">
        <v>405</v>
      </c>
      <c r="G2050" s="3" t="s">
        <v>77</v>
      </c>
      <c r="H2050" s="2" t="s">
        <v>21</v>
      </c>
      <c r="I2050" s="2" t="s">
        <v>4963</v>
      </c>
      <c r="J2050" s="3" t="str">
        <f>HYPERLINK("https://www.boe.es/gazeta/dias/1817/01/09/pdfs/GMD-1817-4.pdf#page=8","Abrir facsímil")</f>
        <v>Abrir facsímil</v>
      </c>
      <c r="K2050" s="3" t="s">
        <v>23</v>
      </c>
    </row>
    <row r="2051" spans="1:11" ht="42" customHeight="1">
      <c r="A2051" s="2" t="s">
        <v>4961</v>
      </c>
      <c r="B2051" s="2" t="s">
        <v>4961</v>
      </c>
      <c r="C2051" s="2" t="s">
        <v>97</v>
      </c>
      <c r="D2051" s="2" t="s">
        <v>44</v>
      </c>
      <c r="E2051" s="5">
        <v>-30237</v>
      </c>
      <c r="F2051" s="3" t="s">
        <v>56</v>
      </c>
      <c r="G2051" s="3" t="s">
        <v>77</v>
      </c>
      <c r="H2051" s="2" t="s">
        <v>21</v>
      </c>
      <c r="I2051" s="2" t="s">
        <v>4964</v>
      </c>
      <c r="J2051" s="3" t="str">
        <f>HYPERLINK("https://www.boe.es/gazeta/dias/1817/03/18/pdfs/GMD-1817-33.pdf#page=8","Abrir facsímil")</f>
        <v>Abrir facsímil</v>
      </c>
      <c r="K2051" s="3" t="s">
        <v>23</v>
      </c>
    </row>
    <row r="2052" spans="1:11" ht="42" customHeight="1">
      <c r="A2052" s="2" t="s">
        <v>4961</v>
      </c>
      <c r="B2052" s="2" t="s">
        <v>4961</v>
      </c>
      <c r="C2052" s="2" t="s">
        <v>36</v>
      </c>
      <c r="D2052" s="2" t="s">
        <v>37</v>
      </c>
      <c r="E2052" s="5">
        <v>-30200</v>
      </c>
      <c r="F2052" s="3" t="s">
        <v>725</v>
      </c>
      <c r="G2052" s="3" t="s">
        <v>57</v>
      </c>
      <c r="H2052" s="2" t="s">
        <v>21</v>
      </c>
      <c r="I2052" s="2" t="s">
        <v>4965</v>
      </c>
      <c r="J2052" s="3" t="str">
        <f>HYPERLINK("https://www.boe.es/gazeta/dias/1817/04/24/pdfs/GMD-1817-49.pdf#page=6","Abrir facsímil")</f>
        <v>Abrir facsímil</v>
      </c>
      <c r="K2052" s="3" t="s">
        <v>23</v>
      </c>
    </row>
    <row r="2053" spans="1:11" ht="42" customHeight="1">
      <c r="A2053" s="2" t="s">
        <v>4961</v>
      </c>
      <c r="B2053" s="2" t="s">
        <v>4961</v>
      </c>
      <c r="C2053" s="2" t="s">
        <v>17</v>
      </c>
      <c r="D2053" s="2" t="s">
        <v>18</v>
      </c>
      <c r="E2053" s="5">
        <v>-30179</v>
      </c>
      <c r="F2053" s="3" t="s">
        <v>391</v>
      </c>
      <c r="G2053" s="3" t="s">
        <v>20</v>
      </c>
      <c r="H2053" s="2" t="s">
        <v>21</v>
      </c>
      <c r="I2053" s="2" t="s">
        <v>4966</v>
      </c>
      <c r="J2053" s="3" t="str">
        <f>HYPERLINK("https://www.boe.es/gazeta/dias/1817/05/15/pdfs/GMD-1817-58.pdf#page=7","Abrir facsímil")</f>
        <v>Abrir facsímil</v>
      </c>
      <c r="K2053" s="3" t="s">
        <v>23</v>
      </c>
    </row>
    <row r="2054" spans="1:11" ht="42" customHeight="1">
      <c r="A2054" s="2" t="s">
        <v>4961</v>
      </c>
      <c r="B2054" s="2" t="s">
        <v>4961</v>
      </c>
      <c r="C2054" s="2" t="s">
        <v>138</v>
      </c>
      <c r="D2054" s="2" t="s">
        <v>44</v>
      </c>
      <c r="E2054" s="5">
        <v>-30139</v>
      </c>
      <c r="F2054" s="3" t="s">
        <v>993</v>
      </c>
      <c r="G2054" s="3" t="s">
        <v>1053</v>
      </c>
      <c r="H2054" s="2" t="s">
        <v>21</v>
      </c>
      <c r="I2054" s="2" t="s">
        <v>4967</v>
      </c>
      <c r="J2054" s="3" t="str">
        <f>HYPERLINK("https://www.boe.es/gazeta/dias/1817/06/24/pdfs/GMD-1817-75.pdf#page=4","Abrir facsímil")</f>
        <v>Abrir facsímil</v>
      </c>
      <c r="K2054" s="3" t="s">
        <v>23</v>
      </c>
    </row>
    <row r="2055" spans="1:11" ht="42" customHeight="1">
      <c r="A2055" s="2" t="s">
        <v>4961</v>
      </c>
      <c r="B2055" s="2" t="s">
        <v>4961</v>
      </c>
      <c r="C2055" s="2" t="s">
        <v>36</v>
      </c>
      <c r="D2055" s="2" t="s">
        <v>37</v>
      </c>
      <c r="E2055" s="5">
        <v>-30109</v>
      </c>
      <c r="F2055" s="3" t="s">
        <v>205</v>
      </c>
      <c r="G2055" s="3" t="s">
        <v>20</v>
      </c>
      <c r="H2055" s="2" t="s">
        <v>21</v>
      </c>
      <c r="I2055" s="2" t="s">
        <v>4968</v>
      </c>
      <c r="J2055" s="3" t="str">
        <f>HYPERLINK("https://www.boe.es/gazeta/dias/1817/07/24/pdfs/GMD-1817-88.pdf#page=7","Abrir facsímil")</f>
        <v>Abrir facsímil</v>
      </c>
      <c r="K2055" s="3" t="s">
        <v>23</v>
      </c>
    </row>
    <row r="2056" spans="1:11" ht="42" customHeight="1">
      <c r="A2056" s="2" t="s">
        <v>4961</v>
      </c>
      <c r="B2056" s="2" t="s">
        <v>4961</v>
      </c>
      <c r="C2056" s="2" t="s">
        <v>43</v>
      </c>
      <c r="D2056" s="2" t="s">
        <v>44</v>
      </c>
      <c r="E2056" s="5">
        <v>-30100</v>
      </c>
      <c r="F2056" s="3" t="s">
        <v>436</v>
      </c>
      <c r="G2056" s="3" t="s">
        <v>144</v>
      </c>
      <c r="H2056" s="2" t="s">
        <v>21</v>
      </c>
      <c r="I2056" s="2" t="s">
        <v>4969</v>
      </c>
      <c r="J2056" s="3" t="str">
        <f>HYPERLINK("https://www.boe.es/gazeta/dias/1817/08/02/pdfs/GMD-1817-92.pdf#page=4","Abrir facsímil")</f>
        <v>Abrir facsímil</v>
      </c>
      <c r="K2056" s="3" t="s">
        <v>23</v>
      </c>
    </row>
    <row r="2057" spans="1:11" ht="42" customHeight="1">
      <c r="A2057" s="2" t="s">
        <v>4961</v>
      </c>
      <c r="B2057" s="2" t="s">
        <v>4961</v>
      </c>
      <c r="C2057" s="2" t="s">
        <v>43</v>
      </c>
      <c r="D2057" s="2" t="s">
        <v>44</v>
      </c>
      <c r="E2057" s="5">
        <v>-30051</v>
      </c>
      <c r="F2057" s="3" t="s">
        <v>26</v>
      </c>
      <c r="G2057" s="3" t="s">
        <v>77</v>
      </c>
      <c r="H2057" s="2" t="s">
        <v>21</v>
      </c>
      <c r="I2057" s="2" t="s">
        <v>4970</v>
      </c>
      <c r="J2057" s="3" t="str">
        <f>HYPERLINK("https://www.boe.es/gazeta/dias/1817/09/20/pdfs/GMD-1817-113.pdf#page=8","Abrir facsímil")</f>
        <v>Abrir facsímil</v>
      </c>
      <c r="K2057" s="3" t="s">
        <v>23</v>
      </c>
    </row>
    <row r="2058" spans="1:11" ht="42" customHeight="1">
      <c r="A2058" s="2" t="s">
        <v>4961</v>
      </c>
      <c r="B2058" s="2" t="s">
        <v>4961</v>
      </c>
      <c r="C2058" s="2" t="s">
        <v>36</v>
      </c>
      <c r="D2058" s="2" t="s">
        <v>37</v>
      </c>
      <c r="E2058" s="5">
        <v>-30011</v>
      </c>
      <c r="F2058" s="3" t="s">
        <v>313</v>
      </c>
      <c r="G2058" s="3" t="s">
        <v>1736</v>
      </c>
      <c r="H2058" s="2" t="s">
        <v>21</v>
      </c>
      <c r="I2058" s="2" t="s">
        <v>4971</v>
      </c>
      <c r="J2058" s="3" t="str">
        <f>HYPERLINK("https://www.boe.es/gazeta/dias/1817/10/30/pdfs/GMD-1817-130.pdf#page=11","Abrir facsímil")</f>
        <v>Abrir facsímil</v>
      </c>
      <c r="K2058" s="3" t="s">
        <v>23</v>
      </c>
    </row>
    <row r="2059" spans="1:11" ht="42" customHeight="1">
      <c r="A2059" s="2" t="s">
        <v>4961</v>
      </c>
      <c r="B2059" s="2" t="s">
        <v>4961</v>
      </c>
      <c r="C2059" s="2" t="s">
        <v>36</v>
      </c>
      <c r="D2059" s="2" t="s">
        <v>37</v>
      </c>
      <c r="E2059" s="5">
        <v>-30011</v>
      </c>
      <c r="F2059" s="3" t="s">
        <v>313</v>
      </c>
      <c r="G2059" s="3" t="s">
        <v>77</v>
      </c>
      <c r="H2059" s="2" t="s">
        <v>21</v>
      </c>
      <c r="I2059" s="2" t="s">
        <v>4972</v>
      </c>
      <c r="J2059" s="3" t="str">
        <f>HYPERLINK("https://www.boe.es/gazeta/dias/1817/10/30/pdfs/GMD-1817-130.pdf#page=8","Abrir facsímil")</f>
        <v>Abrir facsímil</v>
      </c>
      <c r="K2059" s="3" t="s">
        <v>23</v>
      </c>
    </row>
    <row r="2060" spans="1:11" ht="42" customHeight="1">
      <c r="A2060" s="2" t="s">
        <v>4961</v>
      </c>
      <c r="B2060" s="2" t="s">
        <v>4961</v>
      </c>
      <c r="C2060" s="2" t="s">
        <v>36</v>
      </c>
      <c r="D2060" s="2" t="s">
        <v>37</v>
      </c>
      <c r="E2060" s="5">
        <v>-30011</v>
      </c>
      <c r="F2060" s="3" t="s">
        <v>313</v>
      </c>
      <c r="G2060" s="3" t="s">
        <v>887</v>
      </c>
      <c r="H2060" s="2" t="s">
        <v>21</v>
      </c>
      <c r="I2060" s="2" t="s">
        <v>4973</v>
      </c>
      <c r="J2060" s="3" t="str">
        <f>HYPERLINK("https://www.boe.es/gazeta/dias/1817/10/30/pdfs/GMD-1817-130.pdf#page=9","Abrir facsímil")</f>
        <v>Abrir facsímil</v>
      </c>
      <c r="K2060" s="3" t="s">
        <v>23</v>
      </c>
    </row>
    <row r="2061" spans="1:11" ht="42" customHeight="1">
      <c r="A2061" s="2" t="s">
        <v>4961</v>
      </c>
      <c r="B2061" s="2" t="s">
        <v>4961</v>
      </c>
      <c r="C2061" s="2" t="s">
        <v>17</v>
      </c>
      <c r="D2061" s="2" t="s">
        <v>18</v>
      </c>
      <c r="E2061" s="5">
        <v>-29976</v>
      </c>
      <c r="F2061" s="3" t="s">
        <v>81</v>
      </c>
      <c r="G2061" s="3" t="s">
        <v>82</v>
      </c>
      <c r="H2061" s="2" t="s">
        <v>21</v>
      </c>
      <c r="I2061" s="2" t="s">
        <v>4974</v>
      </c>
      <c r="J2061" s="3" t="str">
        <f>HYPERLINK("https://www.boe.es/gazeta/dias/1817/12/04/pdfs/GMD-1817-145.pdf#page=12","Abrir facsímil")</f>
        <v>Abrir facsímil</v>
      </c>
      <c r="K2061" s="3" t="s">
        <v>23</v>
      </c>
    </row>
    <row r="2062" spans="1:11" ht="42" customHeight="1">
      <c r="A2062" s="2" t="s">
        <v>4975</v>
      </c>
      <c r="B2062" s="2" t="s">
        <v>4976</v>
      </c>
      <c r="C2062" s="2" t="s">
        <v>36</v>
      </c>
      <c r="D2062" s="2" t="s">
        <v>37</v>
      </c>
      <c r="E2062" s="5">
        <v>-30198</v>
      </c>
      <c r="F2062" s="3" t="s">
        <v>2185</v>
      </c>
      <c r="G2062" s="3" t="s">
        <v>57</v>
      </c>
      <c r="H2062" s="2" t="s">
        <v>27</v>
      </c>
      <c r="I2062" s="2" t="s">
        <v>4977</v>
      </c>
      <c r="J2062" s="3" t="str">
        <f>HYPERLINK("https://www.boe.es/gazeta/dias/1817/04/26/pdfs/GMD-1817-50.pdf#page=6","Abrir facsímil")</f>
        <v>Abrir facsímil</v>
      </c>
      <c r="K2062" s="3" t="s">
        <v>29</v>
      </c>
    </row>
    <row r="2063" spans="1:11" ht="42" customHeight="1">
      <c r="A2063" s="2" t="s">
        <v>4978</v>
      </c>
      <c r="B2063" s="2" t="s">
        <v>4979</v>
      </c>
      <c r="C2063" s="2" t="s">
        <v>55</v>
      </c>
      <c r="D2063" s="2" t="s">
        <v>44</v>
      </c>
      <c r="E2063" s="5">
        <v>-30265</v>
      </c>
      <c r="F2063" s="3" t="s">
        <v>107</v>
      </c>
      <c r="G2063" s="3" t="s">
        <v>4980</v>
      </c>
      <c r="H2063" s="2" t="s">
        <v>21</v>
      </c>
      <c r="I2063" s="2" t="s">
        <v>4981</v>
      </c>
      <c r="J2063" s="3" t="str">
        <f>HYPERLINK("https://www.boe.es/gazeta/dias/1817/02/18/pdfs/GMD-1817-21.pdf#page=4","Abrir facsímil")</f>
        <v>Abrir facsímil</v>
      </c>
      <c r="K2063" s="3" t="s">
        <v>23</v>
      </c>
    </row>
    <row r="2064" spans="1:11" ht="42" customHeight="1">
      <c r="A2064" s="2" t="s">
        <v>4982</v>
      </c>
      <c r="B2064" s="2" t="s">
        <v>4983</v>
      </c>
      <c r="C2064" s="2" t="s">
        <v>36</v>
      </c>
      <c r="D2064" s="2" t="s">
        <v>37</v>
      </c>
      <c r="E2064" s="5">
        <v>-30048</v>
      </c>
      <c r="F2064" s="3" t="s">
        <v>573</v>
      </c>
      <c r="G2064" s="3" t="s">
        <v>20</v>
      </c>
      <c r="H2064" s="2" t="s">
        <v>27</v>
      </c>
      <c r="I2064" s="2" t="s">
        <v>4984</v>
      </c>
      <c r="J2064" s="3" t="str">
        <f>HYPERLINK("https://www.boe.es/gazeta/dias/1817/09/23/pdfs/GMD-1817-114.pdf#page=7","Abrir facsímil")</f>
        <v>Abrir facsímil</v>
      </c>
      <c r="K2064" s="3" t="s">
        <v>29</v>
      </c>
    </row>
    <row r="2065" spans="1:11" ht="42" customHeight="1">
      <c r="A2065" s="2" t="s">
        <v>4982</v>
      </c>
      <c r="B2065" s="2" t="s">
        <v>4983</v>
      </c>
      <c r="C2065" s="2" t="s">
        <v>36</v>
      </c>
      <c r="D2065" s="2" t="s">
        <v>37</v>
      </c>
      <c r="E2065" s="5">
        <v>-29985</v>
      </c>
      <c r="F2065" s="3" t="s">
        <v>76</v>
      </c>
      <c r="G2065" s="3" t="s">
        <v>112</v>
      </c>
      <c r="H2065" s="2" t="s">
        <v>27</v>
      </c>
      <c r="I2065" s="2" t="s">
        <v>4985</v>
      </c>
      <c r="J2065" s="3" t="str">
        <f>HYPERLINK("https://www.boe.es/gazeta/dias/1817/11/25/pdfs/GMD-1817-141.pdf#page=11","Abrir facsímil")</f>
        <v>Abrir facsímil</v>
      </c>
      <c r="K2065" s="3" t="s">
        <v>29</v>
      </c>
    </row>
    <row r="2066" spans="1:11" ht="42" customHeight="1">
      <c r="A2066" s="2" t="s">
        <v>4986</v>
      </c>
      <c r="B2066" s="2" t="s">
        <v>4987</v>
      </c>
      <c r="C2066" s="2" t="s">
        <v>43</v>
      </c>
      <c r="D2066" s="2" t="s">
        <v>44</v>
      </c>
      <c r="E2066" s="5">
        <v>-30158</v>
      </c>
      <c r="F2066" s="3" t="s">
        <v>305</v>
      </c>
      <c r="G2066" s="3" t="s">
        <v>39</v>
      </c>
      <c r="H2066" s="2" t="s">
        <v>21</v>
      </c>
      <c r="I2066" s="2" t="s">
        <v>4988</v>
      </c>
      <c r="J2066" s="3" t="str">
        <f>HYPERLINK("https://www.boe.es/gazeta/dias/1817/06/05/pdfs/GMD-1817-67.pdf#page=5","Abrir facsímil")</f>
        <v>Abrir facsímil</v>
      </c>
      <c r="K2066" s="3" t="s">
        <v>23</v>
      </c>
    </row>
    <row r="2067" spans="1:11" ht="42" customHeight="1">
      <c r="A2067" s="2" t="s">
        <v>4989</v>
      </c>
      <c r="B2067" s="2" t="s">
        <v>4990</v>
      </c>
      <c r="C2067" s="2" t="s">
        <v>55</v>
      </c>
      <c r="D2067" s="2" t="s">
        <v>44</v>
      </c>
      <c r="E2067" s="5">
        <v>-30228</v>
      </c>
      <c r="F2067" s="3" t="s">
        <v>383</v>
      </c>
      <c r="G2067" s="3" t="s">
        <v>57</v>
      </c>
      <c r="H2067" s="2" t="s">
        <v>21</v>
      </c>
      <c r="I2067" s="2" t="s">
        <v>4991</v>
      </c>
      <c r="J2067" s="3" t="str">
        <f>HYPERLINK("https://www.boe.es/gazeta/dias/1817/03/27/pdfs/GMD-1817-37.pdf#page=6","Abrir facsímil")</f>
        <v>Abrir facsímil</v>
      </c>
      <c r="K2067" s="3" t="s">
        <v>23</v>
      </c>
    </row>
    <row r="2068" spans="1:11" ht="42" customHeight="1">
      <c r="A2068" s="2" t="s">
        <v>4992</v>
      </c>
      <c r="B2068" s="2" t="s">
        <v>4993</v>
      </c>
      <c r="C2068" s="2" t="s">
        <v>43</v>
      </c>
      <c r="D2068" s="2" t="s">
        <v>44</v>
      </c>
      <c r="E2068" s="5">
        <v>-29978</v>
      </c>
      <c r="F2068" s="3" t="s">
        <v>478</v>
      </c>
      <c r="G2068" s="3" t="s">
        <v>832</v>
      </c>
      <c r="H2068" s="2" t="s">
        <v>21</v>
      </c>
      <c r="I2068" s="2" t="s">
        <v>4994</v>
      </c>
      <c r="J2068" s="3" t="str">
        <f>HYPERLINK("https://www.boe.es/gazeta/dias/1817/12/02/pdfs/GMD-1817-144.pdf#page=6","Abrir facsímil")</f>
        <v>Abrir facsímil</v>
      </c>
      <c r="K2068" s="3" t="s">
        <v>23</v>
      </c>
    </row>
    <row r="2069" spans="1:11" ht="42" customHeight="1">
      <c r="A2069" s="2" t="s">
        <v>4995</v>
      </c>
      <c r="B2069" s="2" t="s">
        <v>4996</v>
      </c>
      <c r="C2069" s="2" t="s">
        <v>36</v>
      </c>
      <c r="D2069" s="2" t="s">
        <v>37</v>
      </c>
      <c r="E2069" s="5">
        <v>-30198</v>
      </c>
      <c r="F2069" s="3" t="s">
        <v>2185</v>
      </c>
      <c r="G2069" s="3" t="s">
        <v>57</v>
      </c>
      <c r="H2069" s="2" t="s">
        <v>21</v>
      </c>
      <c r="I2069" s="2" t="s">
        <v>4997</v>
      </c>
      <c r="J2069" s="3" t="str">
        <f>HYPERLINK("https://www.boe.es/gazeta/dias/1817/04/26/pdfs/GMD-1817-50.pdf#page=6","Abrir facsímil")</f>
        <v>Abrir facsímil</v>
      </c>
      <c r="K2069" s="3" t="s">
        <v>23</v>
      </c>
    </row>
    <row r="2070" spans="1:11" ht="42" customHeight="1">
      <c r="A2070" s="2" t="s">
        <v>4998</v>
      </c>
      <c r="B2070" s="2" t="s">
        <v>4998</v>
      </c>
      <c r="C2070" s="2" t="s">
        <v>36</v>
      </c>
      <c r="D2070" s="2" t="s">
        <v>37</v>
      </c>
      <c r="E2070" s="5">
        <v>-30107</v>
      </c>
      <c r="F2070" s="3" t="s">
        <v>307</v>
      </c>
      <c r="G2070" s="3" t="s">
        <v>4999</v>
      </c>
      <c r="H2070" s="2" t="s">
        <v>21</v>
      </c>
      <c r="I2070" s="2" t="s">
        <v>5000</v>
      </c>
      <c r="J2070" s="3" t="str">
        <f>HYPERLINK("https://www.boe.es/gazeta/dias/1817/07/26/pdfs/GMD-1817-89.pdf#page=4","Abrir facsímil")</f>
        <v>Abrir facsímil</v>
      </c>
      <c r="K2070" s="3" t="s">
        <v>23</v>
      </c>
    </row>
    <row r="2071" spans="1:11" ht="42" customHeight="1">
      <c r="A2071" s="2" t="s">
        <v>5001</v>
      </c>
      <c r="B2071" s="2" t="s">
        <v>5002</v>
      </c>
      <c r="C2071" s="2" t="s">
        <v>36</v>
      </c>
      <c r="D2071" s="2" t="s">
        <v>37</v>
      </c>
      <c r="E2071" s="5">
        <v>-30062</v>
      </c>
      <c r="F2071" s="3" t="s">
        <v>444</v>
      </c>
      <c r="G2071" s="3" t="s">
        <v>691</v>
      </c>
      <c r="H2071" s="2" t="s">
        <v>21</v>
      </c>
      <c r="I2071" s="2" t="s">
        <v>5003</v>
      </c>
      <c r="J2071" s="3" t="str">
        <f>HYPERLINK("https://www.boe.es/gazeta/dias/1817/09/09/pdfs/GMD-1817-108.pdf#page=8","Abrir facsímil")</f>
        <v>Abrir facsímil</v>
      </c>
      <c r="K2071" s="3" t="s">
        <v>23</v>
      </c>
    </row>
    <row r="2072" spans="1:11" ht="42" customHeight="1">
      <c r="A2072" s="2" t="s">
        <v>5004</v>
      </c>
      <c r="B2072" s="2" t="s">
        <v>5005</v>
      </c>
      <c r="C2072" s="2" t="s">
        <v>36</v>
      </c>
      <c r="D2072" s="2" t="s">
        <v>37</v>
      </c>
      <c r="E2072" s="5">
        <v>-30249</v>
      </c>
      <c r="F2072" s="3" t="s">
        <v>120</v>
      </c>
      <c r="G2072" s="3" t="s">
        <v>57</v>
      </c>
      <c r="H2072" s="2" t="s">
        <v>27</v>
      </c>
      <c r="I2072" s="2" t="s">
        <v>5006</v>
      </c>
      <c r="J2072" s="3" t="str">
        <f>HYPERLINK("https://www.boe.es/gazeta/dias/1817/03/06/pdfs/GMD-1817-28.pdf#page=6","Abrir facsímil")</f>
        <v>Abrir facsímil</v>
      </c>
      <c r="K2072" s="3" t="s">
        <v>29</v>
      </c>
    </row>
    <row r="2073" spans="1:11" ht="42" customHeight="1">
      <c r="A2073" s="2" t="s">
        <v>5007</v>
      </c>
      <c r="B2073" s="2" t="s">
        <v>5008</v>
      </c>
      <c r="C2073" s="2" t="s">
        <v>97</v>
      </c>
      <c r="D2073" s="2" t="s">
        <v>44</v>
      </c>
      <c r="E2073" s="5">
        <v>-30293</v>
      </c>
      <c r="F2073" s="3" t="s">
        <v>143</v>
      </c>
      <c r="G2073" s="3" t="s">
        <v>20</v>
      </c>
      <c r="H2073" s="2" t="s">
        <v>21</v>
      </c>
      <c r="I2073" s="2" t="s">
        <v>5009</v>
      </c>
      <c r="J2073" s="3" t="str">
        <f>HYPERLINK("https://www.boe.es/gazeta/dias/1817/01/21/pdfs/GMD-1817-9.pdf#page=7","Abrir facsímil")</f>
        <v>Abrir facsímil</v>
      </c>
      <c r="K2073" s="3" t="s">
        <v>23</v>
      </c>
    </row>
    <row r="2074" spans="1:11" ht="42" customHeight="1">
      <c r="A2074" s="2" t="s">
        <v>5010</v>
      </c>
      <c r="B2074" s="2" t="s">
        <v>5011</v>
      </c>
      <c r="C2074" s="2" t="s">
        <v>97</v>
      </c>
      <c r="D2074" s="2" t="s">
        <v>44</v>
      </c>
      <c r="E2074" s="5">
        <v>-30293</v>
      </c>
      <c r="F2074" s="3" t="s">
        <v>143</v>
      </c>
      <c r="G2074" s="3" t="s">
        <v>20</v>
      </c>
      <c r="H2074" s="2" t="s">
        <v>21</v>
      </c>
      <c r="I2074" s="2" t="s">
        <v>5012</v>
      </c>
      <c r="J2074" s="3" t="str">
        <f>HYPERLINK("https://www.boe.es/gazeta/dias/1817/01/21/pdfs/GMD-1817-9.pdf#page=7","Abrir facsímil")</f>
        <v>Abrir facsímil</v>
      </c>
      <c r="K2074" s="3" t="s">
        <v>23</v>
      </c>
    </row>
    <row r="2075" spans="1:11" ht="42" customHeight="1">
      <c r="A2075" s="2" t="s">
        <v>5013</v>
      </c>
      <c r="B2075" s="2" t="s">
        <v>5013</v>
      </c>
      <c r="C2075" s="2" t="s">
        <v>43</v>
      </c>
      <c r="D2075" s="2" t="s">
        <v>44</v>
      </c>
      <c r="E2075" s="5">
        <v>-30055</v>
      </c>
      <c r="F2075" s="3" t="s">
        <v>71</v>
      </c>
      <c r="G2075" s="3" t="s">
        <v>629</v>
      </c>
      <c r="H2075" s="2" t="s">
        <v>21</v>
      </c>
      <c r="I2075" s="2" t="s">
        <v>5014</v>
      </c>
      <c r="J2075" s="3" t="str">
        <f>HYPERLINK("https://www.boe.es/gazeta/dias/1817/09/16/pdfs/GMD-1817-111.pdf#page=2","Abrir facsímil")</f>
        <v>Abrir facsímil</v>
      </c>
      <c r="K2075" s="3" t="s">
        <v>23</v>
      </c>
    </row>
    <row r="2076" spans="1:11" ht="42" customHeight="1">
      <c r="A2076" s="2" t="s">
        <v>5015</v>
      </c>
      <c r="B2076" s="2" t="s">
        <v>5015</v>
      </c>
      <c r="C2076" s="2" t="s">
        <v>36</v>
      </c>
      <c r="D2076" s="2" t="s">
        <v>37</v>
      </c>
      <c r="E2076" s="5">
        <v>-30298</v>
      </c>
      <c r="F2076" s="3" t="s">
        <v>489</v>
      </c>
      <c r="G2076" s="3" t="s">
        <v>629</v>
      </c>
      <c r="H2076" s="2" t="s">
        <v>21</v>
      </c>
      <c r="I2076" s="2" t="s">
        <v>5016</v>
      </c>
      <c r="J2076" s="3" t="str">
        <f>HYPERLINK("https://www.boe.es/gazeta/dias/1817/01/16/pdfs/GMD-1817-7.pdf#page=2","Abrir facsímil")</f>
        <v>Abrir facsímil</v>
      </c>
      <c r="K2076" s="3" t="s">
        <v>23</v>
      </c>
    </row>
    <row r="2077" spans="1:11" ht="42" customHeight="1">
      <c r="A2077" s="2" t="s">
        <v>5017</v>
      </c>
      <c r="B2077" s="2" t="s">
        <v>5018</v>
      </c>
      <c r="C2077" s="2" t="s">
        <v>36</v>
      </c>
      <c r="D2077" s="2" t="s">
        <v>37</v>
      </c>
      <c r="E2077" s="5">
        <v>-30132</v>
      </c>
      <c r="F2077" s="3" t="s">
        <v>718</v>
      </c>
      <c r="G2077" s="3" t="s">
        <v>20</v>
      </c>
      <c r="H2077" s="2" t="s">
        <v>21</v>
      </c>
      <c r="I2077" s="2" t="s">
        <v>5019</v>
      </c>
      <c r="J2077" s="3" t="str">
        <f>HYPERLINK("https://www.boe.es/gazeta/dias/1817/07/01/pdfs/GMD-1817-78.pdf#page=7","Abrir facsímil")</f>
        <v>Abrir facsímil</v>
      </c>
      <c r="K2077" s="3" t="s">
        <v>23</v>
      </c>
    </row>
    <row r="2078" spans="1:11" ht="42" customHeight="1">
      <c r="A2078" s="2" t="s">
        <v>5020</v>
      </c>
      <c r="B2078" s="2" t="s">
        <v>5020</v>
      </c>
      <c r="C2078" s="2" t="s">
        <v>17</v>
      </c>
      <c r="D2078" s="2" t="s">
        <v>18</v>
      </c>
      <c r="E2078" s="5">
        <v>-30177</v>
      </c>
      <c r="F2078" s="3" t="s">
        <v>633</v>
      </c>
      <c r="G2078" s="3" t="s">
        <v>144</v>
      </c>
      <c r="H2078" s="2" t="s">
        <v>21</v>
      </c>
      <c r="I2078" s="2" t="s">
        <v>5021</v>
      </c>
      <c r="J2078" s="3" t="str">
        <f>HYPERLINK("https://www.boe.es/gazeta/dias/1817/05/17/pdfs/GMD-1817-59.pdf#page=4","Abrir facsímil")</f>
        <v>Abrir facsímil</v>
      </c>
      <c r="K2078" s="3" t="s">
        <v>23</v>
      </c>
    </row>
    <row r="2079" spans="1:11" ht="42" customHeight="1">
      <c r="A2079" s="2" t="s">
        <v>5022</v>
      </c>
      <c r="B2079" s="2" t="s">
        <v>5023</v>
      </c>
      <c r="C2079" s="2" t="s">
        <v>36</v>
      </c>
      <c r="D2079" s="2" t="s">
        <v>37</v>
      </c>
      <c r="E2079" s="5">
        <v>-29964</v>
      </c>
      <c r="F2079" s="3" t="s">
        <v>482</v>
      </c>
      <c r="G2079" s="3" t="s">
        <v>483</v>
      </c>
      <c r="H2079" s="2" t="s">
        <v>21</v>
      </c>
      <c r="I2079" s="2" t="s">
        <v>5024</v>
      </c>
      <c r="J2079" s="3" t="str">
        <f>HYPERLINK("https://www.boe.es/gazeta/dias/1817/12/16/pdfs/GMD-1817-150.pdf#page=12","Abrir facsímil")</f>
        <v>Abrir facsímil</v>
      </c>
      <c r="K2079" s="3" t="s">
        <v>23</v>
      </c>
    </row>
    <row r="2080" spans="1:11" ht="42" customHeight="1">
      <c r="A2080" s="2" t="s">
        <v>5025</v>
      </c>
      <c r="B2080" s="2" t="s">
        <v>5025</v>
      </c>
      <c r="C2080" s="2" t="s">
        <v>36</v>
      </c>
      <c r="D2080" s="2" t="s">
        <v>37</v>
      </c>
      <c r="E2080" s="5">
        <v>-29990</v>
      </c>
      <c r="F2080" s="3" t="s">
        <v>542</v>
      </c>
      <c r="G2080" s="3" t="s">
        <v>551</v>
      </c>
      <c r="H2080" s="2" t="s">
        <v>21</v>
      </c>
      <c r="I2080" s="2" t="s">
        <v>5026</v>
      </c>
      <c r="J2080" s="3" t="str">
        <f>HYPERLINK("https://www.boe.es/gazeta/dias/1817/11/20/pdfs/GMD-1817-139.pdf#page=3","Abrir facsímil")</f>
        <v>Abrir facsímil</v>
      </c>
      <c r="K2080" s="3" t="s">
        <v>23</v>
      </c>
    </row>
    <row r="2081" spans="1:11" ht="42" customHeight="1">
      <c r="A2081" s="2" t="s">
        <v>5027</v>
      </c>
      <c r="B2081" s="2" t="s">
        <v>5027</v>
      </c>
      <c r="C2081" s="2" t="s">
        <v>36</v>
      </c>
      <c r="D2081" s="2" t="s">
        <v>37</v>
      </c>
      <c r="E2081" s="5">
        <v>-30065</v>
      </c>
      <c r="F2081" s="3" t="s">
        <v>201</v>
      </c>
      <c r="G2081" s="3" t="s">
        <v>72</v>
      </c>
      <c r="H2081" s="2" t="s">
        <v>21</v>
      </c>
      <c r="I2081" s="2" t="s">
        <v>5028</v>
      </c>
      <c r="J2081" s="3" t="str">
        <f>HYPERLINK("https://www.boe.es/gazeta/dias/1817/09/06/pdfs/GMD-1817-107.pdf#page=1","Abrir facsímil")</f>
        <v>Abrir facsímil</v>
      </c>
      <c r="K2081" s="3" t="s">
        <v>23</v>
      </c>
    </row>
    <row r="2082" spans="1:11" ht="42" customHeight="1">
      <c r="A2082" s="2" t="s">
        <v>5029</v>
      </c>
      <c r="B2082" s="2" t="s">
        <v>5029</v>
      </c>
      <c r="C2082" s="2" t="s">
        <v>36</v>
      </c>
      <c r="D2082" s="2" t="s">
        <v>37</v>
      </c>
      <c r="E2082" s="5">
        <v>-30184</v>
      </c>
      <c r="F2082" s="3" t="s">
        <v>423</v>
      </c>
      <c r="G2082" s="3" t="s">
        <v>629</v>
      </c>
      <c r="H2082" s="2" t="s">
        <v>21</v>
      </c>
      <c r="I2082" s="2" t="s">
        <v>5030</v>
      </c>
      <c r="J2082" s="3" t="str">
        <f>HYPERLINK("https://www.boe.es/gazeta/dias/1817/05/10/pdfs/GMD-1817-56.pdf#page=2","Abrir facsímil")</f>
        <v>Abrir facsímil</v>
      </c>
      <c r="K2082" s="3" t="s">
        <v>23</v>
      </c>
    </row>
    <row r="2083" spans="1:11" ht="42" customHeight="1">
      <c r="A2083" s="2" t="s">
        <v>5031</v>
      </c>
      <c r="B2083" s="2" t="s">
        <v>5031</v>
      </c>
      <c r="C2083" s="2" t="s">
        <v>36</v>
      </c>
      <c r="D2083" s="2" t="s">
        <v>37</v>
      </c>
      <c r="E2083" s="5">
        <v>-30205</v>
      </c>
      <c r="F2083" s="3" t="s">
        <v>139</v>
      </c>
      <c r="G2083" s="3" t="s">
        <v>72</v>
      </c>
      <c r="H2083" s="2" t="s">
        <v>21</v>
      </c>
      <c r="I2083" s="2" t="s">
        <v>5032</v>
      </c>
      <c r="J2083" s="3" t="str">
        <f>HYPERLINK("https://www.boe.es/gazeta/dias/1817/04/19/pdfs/GMD-1817-47.pdf#page=1","Abrir facsímil")</f>
        <v>Abrir facsímil</v>
      </c>
      <c r="K2083" s="3" t="s">
        <v>23</v>
      </c>
    </row>
    <row r="2084" spans="1:11" ht="42" customHeight="1">
      <c r="A2084" s="2" t="s">
        <v>5031</v>
      </c>
      <c r="B2084" s="2" t="s">
        <v>5031</v>
      </c>
      <c r="C2084" s="2" t="s">
        <v>55</v>
      </c>
      <c r="D2084" s="2" t="s">
        <v>44</v>
      </c>
      <c r="E2084" s="5">
        <v>-29976</v>
      </c>
      <c r="F2084" s="3" t="s">
        <v>81</v>
      </c>
      <c r="G2084" s="3" t="s">
        <v>629</v>
      </c>
      <c r="H2084" s="2" t="s">
        <v>21</v>
      </c>
      <c r="I2084" s="2" t="s">
        <v>5033</v>
      </c>
      <c r="J2084" s="3" t="str">
        <f>HYPERLINK("https://www.boe.es/gazeta/dias/1817/12/04/pdfs/GMD-1817-145.pdf#page=2","Abrir facsímil")</f>
        <v>Abrir facsímil</v>
      </c>
      <c r="K2084" s="3" t="s">
        <v>23</v>
      </c>
    </row>
    <row r="2085" spans="1:11" ht="42" customHeight="1">
      <c r="A2085" s="2" t="s">
        <v>5034</v>
      </c>
      <c r="B2085" s="2" t="s">
        <v>5034</v>
      </c>
      <c r="C2085" s="2" t="s">
        <v>17</v>
      </c>
      <c r="D2085" s="2" t="s">
        <v>18</v>
      </c>
      <c r="E2085" s="5">
        <v>-30202</v>
      </c>
      <c r="F2085" s="3" t="s">
        <v>418</v>
      </c>
      <c r="G2085" s="3" t="s">
        <v>551</v>
      </c>
      <c r="H2085" s="2" t="s">
        <v>21</v>
      </c>
      <c r="I2085" s="2" t="s">
        <v>5035</v>
      </c>
      <c r="J2085" s="3" t="str">
        <f>HYPERLINK("https://www.boe.es/gazeta/dias/1817/04/22/pdfs/GMD-1817-48.pdf#page=3","Abrir facsímil")</f>
        <v>Abrir facsímil</v>
      </c>
      <c r="K2085" s="3" t="s">
        <v>23</v>
      </c>
    </row>
    <row r="2086" spans="1:11" ht="42" customHeight="1">
      <c r="A2086" s="2" t="s">
        <v>5036</v>
      </c>
      <c r="B2086" s="2" t="s">
        <v>5037</v>
      </c>
      <c r="C2086" s="2" t="s">
        <v>138</v>
      </c>
      <c r="D2086" s="2" t="s">
        <v>44</v>
      </c>
      <c r="E2086" s="5">
        <v>-30069</v>
      </c>
      <c r="F2086" s="3" t="s">
        <v>817</v>
      </c>
      <c r="G2086" s="3" t="s">
        <v>57</v>
      </c>
      <c r="H2086" s="2" t="s">
        <v>21</v>
      </c>
      <c r="I2086" s="2" t="s">
        <v>5038</v>
      </c>
      <c r="J2086" s="3" t="str">
        <f>HYPERLINK("https://www.boe.es/gazeta/dias/1817/09/02/pdfs/GMD-1817-105.pdf#page=6","Abrir facsímil")</f>
        <v>Abrir facsímil</v>
      </c>
      <c r="K2086" s="3" t="s">
        <v>23</v>
      </c>
    </row>
    <row r="2087" spans="1:11" ht="42" customHeight="1">
      <c r="A2087" s="2" t="s">
        <v>5039</v>
      </c>
      <c r="B2087" s="2" t="s">
        <v>5040</v>
      </c>
      <c r="C2087" s="2" t="s">
        <v>36</v>
      </c>
      <c r="D2087" s="2" t="s">
        <v>37</v>
      </c>
      <c r="E2087" s="5">
        <v>-30002</v>
      </c>
      <c r="F2087" s="3" t="s">
        <v>469</v>
      </c>
      <c r="G2087" s="3" t="s">
        <v>20</v>
      </c>
      <c r="H2087" s="2" t="s">
        <v>21</v>
      </c>
      <c r="I2087" s="2" t="s">
        <v>5041</v>
      </c>
      <c r="J2087" s="3" t="str">
        <f>HYPERLINK("https://www.boe.es/gazeta/dias/1817/11/08/pdfs/GMD-1817-134.pdf#page=7","Abrir facsímil")</f>
        <v>Abrir facsímil</v>
      </c>
      <c r="K2087" s="3" t="s">
        <v>23</v>
      </c>
    </row>
    <row r="2088" spans="1:11" ht="42" customHeight="1">
      <c r="A2088" s="2" t="s">
        <v>5042</v>
      </c>
      <c r="B2088" s="2" t="s">
        <v>5043</v>
      </c>
      <c r="C2088" s="2" t="s">
        <v>43</v>
      </c>
      <c r="D2088" s="2" t="s">
        <v>44</v>
      </c>
      <c r="E2088" s="5">
        <v>-30097</v>
      </c>
      <c r="F2088" s="3" t="s">
        <v>156</v>
      </c>
      <c r="G2088" s="3" t="s">
        <v>1596</v>
      </c>
      <c r="H2088" s="2" t="s">
        <v>21</v>
      </c>
      <c r="I2088" s="2" t="s">
        <v>5044</v>
      </c>
      <c r="J2088" s="3" t="str">
        <f>HYPERLINK("https://www.boe.es/gazeta/dias/1817/08/05/pdfs/GMD-1817-93.pdf#page=6","Abrir facsímil")</f>
        <v>Abrir facsímil</v>
      </c>
      <c r="K2088" s="3" t="s">
        <v>23</v>
      </c>
    </row>
    <row r="2089" spans="1:11" ht="42" customHeight="1">
      <c r="A2089" s="2" t="s">
        <v>5045</v>
      </c>
      <c r="B2089" s="2" t="s">
        <v>5046</v>
      </c>
      <c r="C2089" s="2" t="s">
        <v>17</v>
      </c>
      <c r="D2089" s="2" t="s">
        <v>18</v>
      </c>
      <c r="E2089" s="5">
        <v>-30090</v>
      </c>
      <c r="F2089" s="3" t="s">
        <v>89</v>
      </c>
      <c r="G2089" s="3" t="s">
        <v>20</v>
      </c>
      <c r="H2089" s="2" t="s">
        <v>21</v>
      </c>
      <c r="I2089" s="2" t="s">
        <v>5047</v>
      </c>
      <c r="J2089" s="3" t="str">
        <f>HYPERLINK("https://www.boe.es/gazeta/dias/1817/08/12/pdfs/GMD-1817-96.pdf#page=7","Abrir facsímil")</f>
        <v>Abrir facsímil</v>
      </c>
      <c r="K2089" s="3" t="s">
        <v>23</v>
      </c>
    </row>
    <row r="2090" spans="1:11" ht="42" customHeight="1">
      <c r="A2090" s="2" t="s">
        <v>5048</v>
      </c>
      <c r="B2090" s="2" t="s">
        <v>5049</v>
      </c>
      <c r="C2090" s="2" t="s">
        <v>510</v>
      </c>
      <c r="D2090" s="2" t="s">
        <v>44</v>
      </c>
      <c r="E2090" s="5">
        <v>-30055</v>
      </c>
      <c r="F2090" s="3" t="s">
        <v>71</v>
      </c>
      <c r="G2090" s="3" t="s">
        <v>57</v>
      </c>
      <c r="H2090" s="2" t="s">
        <v>21</v>
      </c>
      <c r="I2090" s="2" t="s">
        <v>5050</v>
      </c>
      <c r="J2090" s="3" t="str">
        <f>HYPERLINK("https://www.boe.es/gazeta/dias/1817/09/16/pdfs/GMD-1817-111.pdf#page=6","Abrir facsímil")</f>
        <v>Abrir facsímil</v>
      </c>
      <c r="K2090" s="3" t="s">
        <v>23</v>
      </c>
    </row>
    <row r="2091" spans="1:11" ht="42" customHeight="1">
      <c r="A2091" s="2" t="s">
        <v>5048</v>
      </c>
      <c r="B2091" s="2" t="s">
        <v>5049</v>
      </c>
      <c r="C2091" s="2" t="s">
        <v>510</v>
      </c>
      <c r="D2091" s="2" t="s">
        <v>44</v>
      </c>
      <c r="E2091" s="5">
        <v>-29985</v>
      </c>
      <c r="F2091" s="3" t="s">
        <v>76</v>
      </c>
      <c r="G2091" s="3" t="s">
        <v>5051</v>
      </c>
      <c r="H2091" s="2" t="s">
        <v>21</v>
      </c>
      <c r="I2091" s="2" t="s">
        <v>5052</v>
      </c>
      <c r="J2091" s="3" t="str">
        <f>HYPERLINK("https://www.boe.es/gazeta/dias/1817/11/25/pdfs/GMD-1817-141.pdf#page=2","Abrir facsímil")</f>
        <v>Abrir facsímil</v>
      </c>
      <c r="K2091" s="3" t="s">
        <v>23</v>
      </c>
    </row>
    <row r="2092" spans="1:11" ht="42" customHeight="1">
      <c r="A2092" s="2" t="s">
        <v>5053</v>
      </c>
      <c r="B2092" s="2" t="s">
        <v>5054</v>
      </c>
      <c r="C2092" s="2" t="s">
        <v>43</v>
      </c>
      <c r="D2092" s="2" t="s">
        <v>44</v>
      </c>
      <c r="E2092" s="5">
        <v>-30195</v>
      </c>
      <c r="F2092" s="3" t="s">
        <v>1163</v>
      </c>
      <c r="G2092" s="3" t="s">
        <v>4945</v>
      </c>
      <c r="H2092" s="2" t="s">
        <v>21</v>
      </c>
      <c r="I2092" s="2" t="s">
        <v>5055</v>
      </c>
      <c r="J2092" s="3" t="str">
        <f>HYPERLINK("https://www.boe.es/gazeta/dias/1817/04/29/pdfs/GMD-1817-51.pdf#page=8","Abrir facsímil")</f>
        <v>Abrir facsímil</v>
      </c>
      <c r="K2092" s="3" t="s">
        <v>23</v>
      </c>
    </row>
    <row r="2093" spans="1:11" ht="42" customHeight="1">
      <c r="A2093" s="2" t="s">
        <v>5056</v>
      </c>
      <c r="B2093" s="2" t="s">
        <v>5057</v>
      </c>
      <c r="C2093" s="2" t="s">
        <v>36</v>
      </c>
      <c r="D2093" s="2" t="s">
        <v>37</v>
      </c>
      <c r="E2093" s="5">
        <v>-30167</v>
      </c>
      <c r="F2093" s="3" t="s">
        <v>153</v>
      </c>
      <c r="G2093" s="3" t="s">
        <v>20</v>
      </c>
      <c r="H2093" s="2" t="s">
        <v>21</v>
      </c>
      <c r="I2093" s="2" t="s">
        <v>5058</v>
      </c>
      <c r="J2093" s="3" t="str">
        <f>HYPERLINK("https://www.boe.es/gazeta/dias/1817/05/27/pdfs/GMD-1817-63.pdf#page=7","Abrir facsímil")</f>
        <v>Abrir facsímil</v>
      </c>
      <c r="K2093" s="3" t="s">
        <v>23</v>
      </c>
    </row>
    <row r="2094" spans="1:11" ht="42" customHeight="1">
      <c r="A2094" s="2" t="s">
        <v>5059</v>
      </c>
      <c r="B2094" s="2" t="s">
        <v>5060</v>
      </c>
      <c r="C2094" s="2" t="s">
        <v>17</v>
      </c>
      <c r="D2094" s="2" t="s">
        <v>18</v>
      </c>
      <c r="E2094" s="5">
        <v>-30086</v>
      </c>
      <c r="F2094" s="3" t="s">
        <v>221</v>
      </c>
      <c r="G2094" s="3" t="s">
        <v>222</v>
      </c>
      <c r="H2094" s="2" t="s">
        <v>21</v>
      </c>
      <c r="I2094" s="2" t="s">
        <v>5061</v>
      </c>
      <c r="J2094" s="3" t="str">
        <f>HYPERLINK("https://www.boe.es/gazeta/dias/1817/08/16/pdfs/GMD-1817-98.pdf#page=8","Abrir facsímil")</f>
        <v>Abrir facsímil</v>
      </c>
      <c r="K2094" s="3" t="s">
        <v>23</v>
      </c>
    </row>
    <row r="2095" spans="1:11" ht="42" customHeight="1">
      <c r="A2095" s="2" t="s">
        <v>5062</v>
      </c>
      <c r="B2095" s="2" t="s">
        <v>5063</v>
      </c>
      <c r="C2095" s="2" t="s">
        <v>36</v>
      </c>
      <c r="D2095" s="2" t="s">
        <v>37</v>
      </c>
      <c r="E2095" s="5">
        <v>-30209</v>
      </c>
      <c r="F2095" s="3" t="s">
        <v>1478</v>
      </c>
      <c r="G2095" s="3" t="s">
        <v>77</v>
      </c>
      <c r="H2095" s="2" t="s">
        <v>21</v>
      </c>
      <c r="I2095" s="2" t="s">
        <v>5064</v>
      </c>
      <c r="J2095" s="3" t="str">
        <f>HYPERLINK("https://www.boe.es/gazeta/dias/1817/04/15/pdfs/GMD-1817-45.pdf#page=8","Abrir facsímil")</f>
        <v>Abrir facsímil</v>
      </c>
      <c r="K2095" s="3" t="s">
        <v>23</v>
      </c>
    </row>
    <row r="2096" spans="1:11" ht="42" customHeight="1">
      <c r="A2096" s="2" t="s">
        <v>5065</v>
      </c>
      <c r="B2096" s="2" t="s">
        <v>5066</v>
      </c>
      <c r="C2096" s="2" t="s">
        <v>36</v>
      </c>
      <c r="D2096" s="2" t="s">
        <v>37</v>
      </c>
      <c r="E2096" s="5">
        <v>-30200</v>
      </c>
      <c r="F2096" s="3" t="s">
        <v>725</v>
      </c>
      <c r="G2096" s="3" t="s">
        <v>57</v>
      </c>
      <c r="H2096" s="2" t="s">
        <v>21</v>
      </c>
      <c r="I2096" s="2" t="s">
        <v>5067</v>
      </c>
      <c r="J2096" s="3" t="str">
        <f>HYPERLINK("https://www.boe.es/gazeta/dias/1817/04/24/pdfs/GMD-1817-49.pdf#page=6","Abrir facsímil")</f>
        <v>Abrir facsímil</v>
      </c>
      <c r="K2096" s="3" t="s">
        <v>23</v>
      </c>
    </row>
    <row r="2097" spans="1:11" ht="42" customHeight="1">
      <c r="A2097" s="2" t="s">
        <v>5068</v>
      </c>
      <c r="B2097" s="2" t="s">
        <v>5069</v>
      </c>
      <c r="C2097" s="2" t="s">
        <v>55</v>
      </c>
      <c r="D2097" s="2" t="s">
        <v>44</v>
      </c>
      <c r="E2097" s="5">
        <v>-30086</v>
      </c>
      <c r="F2097" s="3" t="s">
        <v>221</v>
      </c>
      <c r="G2097" s="3" t="s">
        <v>39</v>
      </c>
      <c r="H2097" s="2" t="s">
        <v>21</v>
      </c>
      <c r="I2097" s="2" t="s">
        <v>5070</v>
      </c>
      <c r="J2097" s="3" t="str">
        <f>HYPERLINK("https://www.boe.es/gazeta/dias/1817/08/16/pdfs/GMD-1817-98.pdf#page=5","Abrir facsímil")</f>
        <v>Abrir facsímil</v>
      </c>
      <c r="K2097" s="3" t="s">
        <v>23</v>
      </c>
    </row>
    <row r="2098" spans="1:11" ht="42" customHeight="1">
      <c r="A2098" s="2" t="s">
        <v>5071</v>
      </c>
      <c r="B2098" s="2" t="s">
        <v>5072</v>
      </c>
      <c r="C2098" s="2" t="s">
        <v>138</v>
      </c>
      <c r="D2098" s="2" t="s">
        <v>44</v>
      </c>
      <c r="E2098" s="5">
        <v>-30160</v>
      </c>
      <c r="F2098" s="3" t="s">
        <v>116</v>
      </c>
      <c r="G2098" s="3" t="s">
        <v>567</v>
      </c>
      <c r="H2098" s="2" t="s">
        <v>21</v>
      </c>
      <c r="I2098" s="2" t="s">
        <v>5073</v>
      </c>
      <c r="J2098" s="3" t="str">
        <f>HYPERLINK("https://www.boe.es/gazeta/dias/1817/06/03/pdfs/GMD-1817-66.pdf#page=6","Abrir facsímil")</f>
        <v>Abrir facsímil</v>
      </c>
      <c r="K2098" s="3" t="s">
        <v>23</v>
      </c>
    </row>
    <row r="2099" spans="1:11" ht="42" customHeight="1">
      <c r="A2099" s="2" t="s">
        <v>5074</v>
      </c>
      <c r="B2099" s="2" t="s">
        <v>5075</v>
      </c>
      <c r="C2099" s="2" t="s">
        <v>36</v>
      </c>
      <c r="D2099" s="2" t="s">
        <v>37</v>
      </c>
      <c r="E2099" s="5">
        <v>-30055</v>
      </c>
      <c r="F2099" s="3" t="s">
        <v>71</v>
      </c>
      <c r="G2099" s="3" t="s">
        <v>314</v>
      </c>
      <c r="H2099" s="2" t="s">
        <v>21</v>
      </c>
      <c r="I2099" s="2" t="s">
        <v>5076</v>
      </c>
      <c r="J2099" s="3" t="str">
        <f>HYPERLINK("https://www.boe.es/gazeta/dias/1817/09/16/pdfs/GMD-1817-111.pdf#page=10","Abrir facsímil")</f>
        <v>Abrir facsímil</v>
      </c>
      <c r="K2099" s="3" t="s">
        <v>23</v>
      </c>
    </row>
    <row r="2100" spans="1:11" ht="42" customHeight="1">
      <c r="A2100" s="2" t="s">
        <v>5077</v>
      </c>
      <c r="B2100" s="2" t="s">
        <v>5078</v>
      </c>
      <c r="C2100" s="2" t="s">
        <v>43</v>
      </c>
      <c r="D2100" s="2" t="s">
        <v>44</v>
      </c>
      <c r="E2100" s="5">
        <v>-30062</v>
      </c>
      <c r="F2100" s="3" t="s">
        <v>444</v>
      </c>
      <c r="G2100" s="3" t="s">
        <v>112</v>
      </c>
      <c r="H2100" s="2" t="s">
        <v>21</v>
      </c>
      <c r="I2100" s="2" t="s">
        <v>5079</v>
      </c>
      <c r="J2100" s="3" t="str">
        <f>HYPERLINK("https://www.boe.es/gazeta/dias/1817/09/09/pdfs/GMD-1817-108.pdf#page=11","Abrir facsímil")</f>
        <v>Abrir facsímil</v>
      </c>
      <c r="K2100" s="3" t="s">
        <v>23</v>
      </c>
    </row>
    <row r="2101" spans="1:11" ht="42" customHeight="1">
      <c r="A2101" s="2" t="s">
        <v>5080</v>
      </c>
      <c r="B2101" s="2" t="s">
        <v>5081</v>
      </c>
      <c r="C2101" s="2" t="s">
        <v>17</v>
      </c>
      <c r="D2101" s="2" t="s">
        <v>18</v>
      </c>
      <c r="E2101" s="5">
        <v>-29983</v>
      </c>
      <c r="F2101" s="3" t="s">
        <v>148</v>
      </c>
      <c r="G2101" s="3" t="s">
        <v>654</v>
      </c>
      <c r="H2101" s="2" t="s">
        <v>21</v>
      </c>
      <c r="I2101" s="2" t="s">
        <v>5082</v>
      </c>
      <c r="J2101" s="3" t="str">
        <f>HYPERLINK("https://www.boe.es/gazeta/dias/1817/11/27/pdfs/GMD-1817-142.pdf#page=4","Abrir facsímil")</f>
        <v>Abrir facsímil</v>
      </c>
      <c r="K2101" s="3" t="s">
        <v>23</v>
      </c>
    </row>
    <row r="2102" spans="1:11" ht="42" customHeight="1">
      <c r="A2102" s="2" t="s">
        <v>5083</v>
      </c>
      <c r="B2102" s="2" t="s">
        <v>5084</v>
      </c>
      <c r="C2102" s="2" t="s">
        <v>55</v>
      </c>
      <c r="D2102" s="2" t="s">
        <v>44</v>
      </c>
      <c r="E2102" s="5">
        <v>-30237</v>
      </c>
      <c r="F2102" s="3" t="s">
        <v>56</v>
      </c>
      <c r="G2102" s="3" t="s">
        <v>57</v>
      </c>
      <c r="H2102" s="2" t="s">
        <v>21</v>
      </c>
      <c r="I2102" s="2" t="s">
        <v>5085</v>
      </c>
      <c r="J2102" s="3" t="str">
        <f>HYPERLINK("https://www.boe.es/gazeta/dias/1817/03/18/pdfs/GMD-1817-33.pdf#page=6","Abrir facsímil")</f>
        <v>Abrir facsímil</v>
      </c>
      <c r="K2102" s="3" t="s">
        <v>23</v>
      </c>
    </row>
    <row r="2103" spans="1:11" ht="42" customHeight="1">
      <c r="A2103" s="2" t="s">
        <v>5086</v>
      </c>
      <c r="B2103" s="2" t="s">
        <v>5087</v>
      </c>
      <c r="C2103" s="2" t="s">
        <v>36</v>
      </c>
      <c r="D2103" s="2" t="s">
        <v>37</v>
      </c>
      <c r="E2103" s="5">
        <v>-29957</v>
      </c>
      <c r="F2103" s="3" t="s">
        <v>1001</v>
      </c>
      <c r="G2103" s="3" t="s">
        <v>20</v>
      </c>
      <c r="H2103" s="2" t="s">
        <v>21</v>
      </c>
      <c r="I2103" s="2" t="s">
        <v>5088</v>
      </c>
      <c r="J2103" s="3" t="str">
        <f>HYPERLINK("https://www.boe.es/gazeta/dias/1817/12/23/pdfs/GMD-1817-153.pdf#page=7","Abrir facsímil")</f>
        <v>Abrir facsímil</v>
      </c>
      <c r="K2103" s="3" t="s">
        <v>23</v>
      </c>
    </row>
    <row r="2104" spans="1:11" ht="42" customHeight="1">
      <c r="A2104" s="2" t="s">
        <v>5089</v>
      </c>
      <c r="B2104" s="2" t="s">
        <v>5090</v>
      </c>
      <c r="C2104" s="2" t="s">
        <v>36</v>
      </c>
      <c r="D2104" s="2" t="s">
        <v>37</v>
      </c>
      <c r="E2104" s="5">
        <v>-30188</v>
      </c>
      <c r="F2104" s="3" t="s">
        <v>177</v>
      </c>
      <c r="G2104" s="3" t="s">
        <v>144</v>
      </c>
      <c r="H2104" s="2" t="s">
        <v>21</v>
      </c>
      <c r="I2104" s="2" t="s">
        <v>5091</v>
      </c>
      <c r="J2104" s="3" t="str">
        <f>HYPERLINK("https://www.boe.es/gazeta/dias/1817/05/06/pdfs/GMD-1817-54.pdf#page=4","Abrir facsímil")</f>
        <v>Abrir facsímil</v>
      </c>
      <c r="K2104" s="3" t="s">
        <v>23</v>
      </c>
    </row>
    <row r="2105" spans="1:11" ht="42" customHeight="1">
      <c r="A2105" s="2" t="s">
        <v>5092</v>
      </c>
      <c r="B2105" s="2" t="s">
        <v>5092</v>
      </c>
      <c r="C2105" s="2" t="s">
        <v>17</v>
      </c>
      <c r="D2105" s="2" t="s">
        <v>18</v>
      </c>
      <c r="E2105" s="5">
        <v>-30097</v>
      </c>
      <c r="F2105" s="3" t="s">
        <v>156</v>
      </c>
      <c r="G2105" s="3" t="s">
        <v>5093</v>
      </c>
      <c r="H2105" s="2" t="s">
        <v>21</v>
      </c>
      <c r="I2105" s="2" t="s">
        <v>5094</v>
      </c>
      <c r="J2105" s="3" t="str">
        <f>HYPERLINK("https://www.boe.es/gazeta/dias/1817/08/05/pdfs/GMD-1817-93.pdf#page=3","Abrir facsímil")</f>
        <v>Abrir facsímil</v>
      </c>
      <c r="K2105" s="3" t="s">
        <v>23</v>
      </c>
    </row>
    <row r="2106" spans="1:11" ht="42" customHeight="1">
      <c r="A2106" s="2" t="s">
        <v>5095</v>
      </c>
      <c r="B2106" s="2" t="s">
        <v>5096</v>
      </c>
      <c r="C2106" s="2" t="s">
        <v>36</v>
      </c>
      <c r="D2106" s="2" t="s">
        <v>37</v>
      </c>
      <c r="E2106" s="5">
        <v>-30055</v>
      </c>
      <c r="F2106" s="3" t="s">
        <v>71</v>
      </c>
      <c r="G2106" s="3" t="s">
        <v>314</v>
      </c>
      <c r="H2106" s="2" t="s">
        <v>21</v>
      </c>
      <c r="I2106" s="2" t="s">
        <v>5097</v>
      </c>
      <c r="J2106" s="3" t="str">
        <f>HYPERLINK("https://www.boe.es/gazeta/dias/1817/09/16/pdfs/GMD-1817-111.pdf#page=10","Abrir facsímil")</f>
        <v>Abrir facsímil</v>
      </c>
      <c r="K2106" s="3" t="s">
        <v>23</v>
      </c>
    </row>
    <row r="2107" spans="1:11" ht="42" customHeight="1">
      <c r="A2107" s="2" t="s">
        <v>5095</v>
      </c>
      <c r="B2107" s="2" t="s">
        <v>5096</v>
      </c>
      <c r="C2107" s="2" t="s">
        <v>49</v>
      </c>
      <c r="D2107" s="2" t="s">
        <v>44</v>
      </c>
      <c r="E2107" s="5">
        <v>-29997</v>
      </c>
      <c r="F2107" s="3" t="s">
        <v>652</v>
      </c>
      <c r="G2107" s="3" t="s">
        <v>1095</v>
      </c>
      <c r="H2107" s="2" t="s">
        <v>21</v>
      </c>
      <c r="I2107" s="2" t="s">
        <v>5098</v>
      </c>
      <c r="J2107" s="3" t="str">
        <f>HYPERLINK("https://www.boe.es/gazeta/dias/1817/11/13/pdfs/GMD-1817-136.pdf#page=10","Abrir facsímil")</f>
        <v>Abrir facsímil</v>
      </c>
      <c r="K2107" s="3" t="s">
        <v>23</v>
      </c>
    </row>
    <row r="2108" spans="1:11" ht="42" customHeight="1">
      <c r="A2108" s="2" t="s">
        <v>5099</v>
      </c>
      <c r="B2108" s="2" t="s">
        <v>5099</v>
      </c>
      <c r="C2108" s="2" t="s">
        <v>36</v>
      </c>
      <c r="D2108" s="2" t="s">
        <v>37</v>
      </c>
      <c r="E2108" s="5">
        <v>-30200</v>
      </c>
      <c r="F2108" s="3" t="s">
        <v>725</v>
      </c>
      <c r="G2108" s="3" t="s">
        <v>72</v>
      </c>
      <c r="H2108" s="2" t="s">
        <v>21</v>
      </c>
      <c r="I2108" s="2" t="s">
        <v>5100</v>
      </c>
      <c r="J2108" s="3" t="str">
        <f>HYPERLINK("https://www.boe.es/gazeta/dias/1817/04/24/pdfs/GMD-1817-49.pdf#page=1","Abrir facsímil")</f>
        <v>Abrir facsímil</v>
      </c>
      <c r="K2108" s="3" t="s">
        <v>23</v>
      </c>
    </row>
    <row r="2109" spans="1:11" ht="42" customHeight="1">
      <c r="A2109" s="2" t="s">
        <v>5101</v>
      </c>
      <c r="B2109" s="2" t="s">
        <v>5102</v>
      </c>
      <c r="C2109" s="2" t="s">
        <v>43</v>
      </c>
      <c r="D2109" s="2" t="s">
        <v>44</v>
      </c>
      <c r="E2109" s="5">
        <v>-30160</v>
      </c>
      <c r="F2109" s="3" t="s">
        <v>116</v>
      </c>
      <c r="G2109" s="3" t="s">
        <v>567</v>
      </c>
      <c r="H2109" s="2" t="s">
        <v>21</v>
      </c>
      <c r="I2109" s="2" t="s">
        <v>5103</v>
      </c>
      <c r="J2109" s="3" t="str">
        <f>HYPERLINK("https://www.boe.es/gazeta/dias/1817/06/03/pdfs/GMD-1817-66.pdf#page=6","Abrir facsímil")</f>
        <v>Abrir facsímil</v>
      </c>
      <c r="K2109" s="3" t="s">
        <v>23</v>
      </c>
    </row>
    <row r="2110" spans="1:11" ht="42" customHeight="1">
      <c r="A2110" s="2" t="s">
        <v>5104</v>
      </c>
      <c r="B2110" s="2" t="s">
        <v>5105</v>
      </c>
      <c r="C2110" s="2" t="s">
        <v>36</v>
      </c>
      <c r="D2110" s="2" t="s">
        <v>37</v>
      </c>
      <c r="E2110" s="5">
        <v>-29974</v>
      </c>
      <c r="F2110" s="3" t="s">
        <v>32</v>
      </c>
      <c r="G2110" s="3" t="s">
        <v>57</v>
      </c>
      <c r="H2110" s="2" t="s">
        <v>27</v>
      </c>
      <c r="I2110" s="2" t="s">
        <v>5106</v>
      </c>
      <c r="J2110" s="3" t="str">
        <f>HYPERLINK("https://www.boe.es/gazeta/dias/1817/12/06/pdfs/GMD-1817-146.pdf#page=6","Abrir facsímil")</f>
        <v>Abrir facsímil</v>
      </c>
      <c r="K2110" s="3" t="s">
        <v>29</v>
      </c>
    </row>
    <row r="2111" spans="1:11" ht="42" customHeight="1">
      <c r="A2111" s="2" t="s">
        <v>5107</v>
      </c>
      <c r="B2111" s="2" t="s">
        <v>5108</v>
      </c>
      <c r="C2111" s="2" t="s">
        <v>55</v>
      </c>
      <c r="D2111" s="2" t="s">
        <v>44</v>
      </c>
      <c r="E2111" s="5">
        <v>-29983</v>
      </c>
      <c r="F2111" s="3" t="s">
        <v>148</v>
      </c>
      <c r="G2111" s="3" t="s">
        <v>149</v>
      </c>
      <c r="H2111" s="2" t="s">
        <v>27</v>
      </c>
      <c r="I2111" s="2" t="s">
        <v>5109</v>
      </c>
      <c r="J2111" s="3" t="str">
        <f>HYPERLINK("https://www.boe.es/gazeta/dias/1817/11/27/pdfs/GMD-1817-142.pdf#page=8","Abrir facsímil")</f>
        <v>Abrir facsímil</v>
      </c>
      <c r="K2111" s="3" t="s">
        <v>29</v>
      </c>
    </row>
    <row r="2112" spans="1:11" ht="42" customHeight="1">
      <c r="A2112" s="2" t="s">
        <v>5110</v>
      </c>
      <c r="B2112" s="2" t="s">
        <v>5111</v>
      </c>
      <c r="C2112" s="2" t="s">
        <v>43</v>
      </c>
      <c r="D2112" s="2" t="s">
        <v>44</v>
      </c>
      <c r="E2112" s="5">
        <v>-30097</v>
      </c>
      <c r="F2112" s="3" t="s">
        <v>156</v>
      </c>
      <c r="G2112" s="3" t="s">
        <v>1596</v>
      </c>
      <c r="H2112" s="2" t="s">
        <v>21</v>
      </c>
      <c r="I2112" s="2" t="s">
        <v>5112</v>
      </c>
      <c r="J2112" s="3" t="str">
        <f>HYPERLINK("https://www.boe.es/gazeta/dias/1817/08/05/pdfs/GMD-1817-93.pdf#page=6","Abrir facsímil")</f>
        <v>Abrir facsímil</v>
      </c>
      <c r="K2112" s="3" t="s">
        <v>23</v>
      </c>
    </row>
    <row r="2113" spans="1:11" ht="42" customHeight="1">
      <c r="A2113" s="2" t="s">
        <v>5113</v>
      </c>
      <c r="B2113" s="2" t="s">
        <v>5114</v>
      </c>
      <c r="C2113" s="2" t="s">
        <v>43</v>
      </c>
      <c r="D2113" s="2" t="s">
        <v>44</v>
      </c>
      <c r="E2113" s="5">
        <v>-30149</v>
      </c>
      <c r="F2113" s="3" t="s">
        <v>430</v>
      </c>
      <c r="G2113" s="3" t="s">
        <v>57</v>
      </c>
      <c r="H2113" s="2" t="s">
        <v>21</v>
      </c>
      <c r="I2113" s="2" t="s">
        <v>5115</v>
      </c>
      <c r="J2113" s="3" t="str">
        <f>HYPERLINK("https://www.boe.es/gazeta/dias/1817/06/14/pdfs/GMD-1817-71.pdf#page=6","Abrir facsímil")</f>
        <v>Abrir facsímil</v>
      </c>
      <c r="K2113" s="3" t="s">
        <v>23</v>
      </c>
    </row>
    <row r="2114" spans="1:11" ht="42" customHeight="1">
      <c r="A2114" s="2" t="s">
        <v>5116</v>
      </c>
      <c r="B2114" s="2" t="s">
        <v>5117</v>
      </c>
      <c r="C2114" s="2" t="s">
        <v>43</v>
      </c>
      <c r="D2114" s="2" t="s">
        <v>44</v>
      </c>
      <c r="E2114" s="5">
        <v>-30167</v>
      </c>
      <c r="F2114" s="3" t="s">
        <v>153</v>
      </c>
      <c r="G2114" s="3" t="s">
        <v>144</v>
      </c>
      <c r="H2114" s="2" t="s">
        <v>21</v>
      </c>
      <c r="I2114" s="2" t="s">
        <v>5118</v>
      </c>
      <c r="J2114" s="3" t="str">
        <f>HYPERLINK("https://www.boe.es/gazeta/dias/1817/05/27/pdfs/GMD-1817-63.pdf#page=4","Abrir facsímil")</f>
        <v>Abrir facsímil</v>
      </c>
      <c r="K2114" s="3" t="s">
        <v>23</v>
      </c>
    </row>
    <row r="2115" spans="1:11" ht="42" customHeight="1">
      <c r="A2115" s="2" t="s">
        <v>5119</v>
      </c>
      <c r="B2115" s="2" t="s">
        <v>5120</v>
      </c>
      <c r="C2115" s="2" t="s">
        <v>36</v>
      </c>
      <c r="D2115" s="2" t="s">
        <v>37</v>
      </c>
      <c r="E2115" s="5">
        <v>-30027</v>
      </c>
      <c r="F2115" s="3" t="s">
        <v>173</v>
      </c>
      <c r="G2115" s="3" t="s">
        <v>20</v>
      </c>
      <c r="H2115" s="2" t="s">
        <v>21</v>
      </c>
      <c r="I2115" s="2" t="s">
        <v>5121</v>
      </c>
      <c r="J2115" s="3" t="str">
        <f>HYPERLINK("https://www.boe.es/gazeta/dias/1817/10/14/pdfs/GMD-1817-123.pdf#page=7","Abrir facsímil")</f>
        <v>Abrir facsímil</v>
      </c>
      <c r="K2115" s="3" t="s">
        <v>23</v>
      </c>
    </row>
    <row r="2116" spans="1:11" ht="42" customHeight="1">
      <c r="A2116" s="2" t="s">
        <v>5122</v>
      </c>
      <c r="B2116" s="2" t="s">
        <v>5122</v>
      </c>
      <c r="C2116" s="2" t="s">
        <v>36</v>
      </c>
      <c r="D2116" s="2" t="s">
        <v>37</v>
      </c>
      <c r="E2116" s="5">
        <v>-29950</v>
      </c>
      <c r="F2116" s="3" t="s">
        <v>185</v>
      </c>
      <c r="G2116" s="3" t="s">
        <v>57</v>
      </c>
      <c r="H2116" s="2" t="s">
        <v>21</v>
      </c>
      <c r="I2116" s="2" t="s">
        <v>5123</v>
      </c>
      <c r="J2116" s="3" t="str">
        <f>HYPERLINK("https://www.boe.es/gazeta/dias/1817/12/30/pdfs/GMD-1817-156.pdf#page=6","Abrir facsímil")</f>
        <v>Abrir facsímil</v>
      </c>
      <c r="K2116" s="3" t="s">
        <v>23</v>
      </c>
    </row>
    <row r="2117" spans="1:11" ht="42" customHeight="1">
      <c r="A2117" s="2" t="s">
        <v>5124</v>
      </c>
      <c r="B2117" s="2" t="s">
        <v>5125</v>
      </c>
      <c r="C2117" s="2" t="s">
        <v>36</v>
      </c>
      <c r="D2117" s="2" t="s">
        <v>37</v>
      </c>
      <c r="E2117" s="5">
        <v>-29950</v>
      </c>
      <c r="F2117" s="3" t="s">
        <v>185</v>
      </c>
      <c r="G2117" s="3" t="s">
        <v>1614</v>
      </c>
      <c r="H2117" s="2" t="s">
        <v>21</v>
      </c>
      <c r="I2117" s="2" t="s">
        <v>5126</v>
      </c>
      <c r="J2117" s="3" t="str">
        <f>HYPERLINK("https://www.boe.es/gazeta/dias/1817/12/30/pdfs/GMD-1817-156.pdf#page=4","Abrir facsímil")</f>
        <v>Abrir facsímil</v>
      </c>
      <c r="K2117" s="3" t="s">
        <v>23</v>
      </c>
    </row>
    <row r="2118" spans="1:11" ht="42" customHeight="1">
      <c r="A2118" s="2" t="s">
        <v>5124</v>
      </c>
      <c r="B2118" s="2" t="s">
        <v>5125</v>
      </c>
      <c r="C2118" s="2" t="s">
        <v>36</v>
      </c>
      <c r="D2118" s="2" t="s">
        <v>37</v>
      </c>
      <c r="E2118" s="5">
        <v>-29950</v>
      </c>
      <c r="F2118" s="3" t="s">
        <v>185</v>
      </c>
      <c r="G2118" s="3" t="s">
        <v>57</v>
      </c>
      <c r="H2118" s="2" t="s">
        <v>21</v>
      </c>
      <c r="I2118" s="2" t="s">
        <v>5127</v>
      </c>
      <c r="J2118" s="3" t="str">
        <f>HYPERLINK("https://www.boe.es/gazeta/dias/1817/12/30/pdfs/GMD-1817-156.pdf#page=6","Abrir facsímil")</f>
        <v>Abrir facsímil</v>
      </c>
      <c r="K2118" s="3" t="s">
        <v>23</v>
      </c>
    </row>
    <row r="2119" spans="1:11" ht="42" customHeight="1">
      <c r="A2119" s="2" t="s">
        <v>5128</v>
      </c>
      <c r="B2119" s="2" t="s">
        <v>5129</v>
      </c>
      <c r="C2119" s="2" t="s">
        <v>43</v>
      </c>
      <c r="D2119" s="2" t="s">
        <v>44</v>
      </c>
      <c r="E2119" s="5">
        <v>-30228</v>
      </c>
      <c r="F2119" s="3" t="s">
        <v>383</v>
      </c>
      <c r="G2119" s="3" t="s">
        <v>57</v>
      </c>
      <c r="H2119" s="2" t="s">
        <v>21</v>
      </c>
      <c r="I2119" s="2" t="s">
        <v>5130</v>
      </c>
      <c r="J2119" s="3" t="str">
        <f>HYPERLINK("https://www.boe.es/gazeta/dias/1817/03/27/pdfs/GMD-1817-37.pdf#page=6","Abrir facsímil")</f>
        <v>Abrir facsímil</v>
      </c>
      <c r="K2119" s="3" t="s">
        <v>23</v>
      </c>
    </row>
    <row r="2120" spans="1:11" ht="42" customHeight="1">
      <c r="A2120" s="2" t="s">
        <v>5131</v>
      </c>
      <c r="B2120" s="2" t="s">
        <v>5132</v>
      </c>
      <c r="C2120" s="2" t="s">
        <v>17</v>
      </c>
      <c r="D2120" s="2" t="s">
        <v>18</v>
      </c>
      <c r="E2120" s="5">
        <v>-30216</v>
      </c>
      <c r="F2120" s="3" t="s">
        <v>344</v>
      </c>
      <c r="G2120" s="3" t="s">
        <v>20</v>
      </c>
      <c r="H2120" s="2" t="s">
        <v>21</v>
      </c>
      <c r="I2120" s="2" t="s">
        <v>5133</v>
      </c>
      <c r="J2120" s="3" t="str">
        <f>HYPERLINK("https://www.boe.es/gazeta/dias/1817/04/08/pdfs/GMD-1817-42.pdf#page=7","Abrir facsímil")</f>
        <v>Abrir facsímil</v>
      </c>
      <c r="K2120" s="3" t="s">
        <v>23</v>
      </c>
    </row>
    <row r="2121" spans="1:11" ht="42" customHeight="1">
      <c r="A2121" s="2" t="s">
        <v>5134</v>
      </c>
      <c r="B2121" s="2" t="s">
        <v>5135</v>
      </c>
      <c r="C2121" s="2" t="s">
        <v>36</v>
      </c>
      <c r="D2121" s="2" t="s">
        <v>37</v>
      </c>
      <c r="E2121" s="5">
        <v>-30090</v>
      </c>
      <c r="F2121" s="3" t="s">
        <v>89</v>
      </c>
      <c r="G2121" s="3" t="s">
        <v>39</v>
      </c>
      <c r="H2121" s="2" t="s">
        <v>21</v>
      </c>
      <c r="I2121" s="2" t="s">
        <v>5136</v>
      </c>
      <c r="J2121" s="3" t="str">
        <f>HYPERLINK("https://www.boe.es/gazeta/dias/1817/08/12/pdfs/GMD-1817-96.pdf#page=5","Abrir facsímil")</f>
        <v>Abrir facsímil</v>
      </c>
      <c r="K2121" s="3" t="s">
        <v>23</v>
      </c>
    </row>
    <row r="2122" spans="1:11" ht="42" customHeight="1">
      <c r="A2122" s="2" t="s">
        <v>5137</v>
      </c>
      <c r="B2122" s="2" t="s">
        <v>5138</v>
      </c>
      <c r="C2122" s="2" t="s">
        <v>17</v>
      </c>
      <c r="D2122" s="2" t="s">
        <v>18</v>
      </c>
      <c r="E2122" s="5">
        <v>-30013</v>
      </c>
      <c r="F2122" s="3" t="s">
        <v>464</v>
      </c>
      <c r="G2122" s="3" t="s">
        <v>39</v>
      </c>
      <c r="H2122" s="2" t="s">
        <v>21</v>
      </c>
      <c r="I2122" s="2" t="s">
        <v>5139</v>
      </c>
      <c r="J2122" s="3" t="str">
        <f>HYPERLINK("https://www.boe.es/gazeta/dias/1817/10/28/pdfs/GMD-1817-129.pdf#page=5","Abrir facsímil")</f>
        <v>Abrir facsímil</v>
      </c>
      <c r="K2122" s="3" t="s">
        <v>23</v>
      </c>
    </row>
    <row r="2123" spans="1:11" ht="42" customHeight="1">
      <c r="A2123" s="2" t="s">
        <v>5137</v>
      </c>
      <c r="B2123" s="2" t="s">
        <v>5138</v>
      </c>
      <c r="C2123" s="2" t="s">
        <v>17</v>
      </c>
      <c r="D2123" s="2" t="s">
        <v>18</v>
      </c>
      <c r="E2123" s="5">
        <v>-29953</v>
      </c>
      <c r="F2123" s="3" t="s">
        <v>793</v>
      </c>
      <c r="G2123" s="3" t="s">
        <v>20</v>
      </c>
      <c r="H2123" s="2" t="s">
        <v>21</v>
      </c>
      <c r="I2123" s="2" t="s">
        <v>5140</v>
      </c>
      <c r="J2123" s="3" t="str">
        <f>HYPERLINK("https://www.boe.es/gazeta/dias/1817/12/27/pdfs/GMD-1817-155.pdf#page=7","Abrir facsímil")</f>
        <v>Abrir facsímil</v>
      </c>
      <c r="K2123" s="3" t="s">
        <v>23</v>
      </c>
    </row>
    <row r="2124" spans="1:11" ht="42" customHeight="1">
      <c r="A2124" s="2" t="s">
        <v>5141</v>
      </c>
      <c r="B2124" s="2" t="s">
        <v>5141</v>
      </c>
      <c r="C2124" s="2" t="s">
        <v>43</v>
      </c>
      <c r="D2124" s="2" t="s">
        <v>44</v>
      </c>
      <c r="E2124" s="5">
        <v>-30212</v>
      </c>
      <c r="F2124" s="3" t="s">
        <v>745</v>
      </c>
      <c r="G2124" s="3" t="s">
        <v>551</v>
      </c>
      <c r="H2124" s="2" t="s">
        <v>21</v>
      </c>
      <c r="I2124" s="2" t="s">
        <v>5142</v>
      </c>
      <c r="J2124" s="3" t="str">
        <f>HYPERLINK("https://www.boe.es/gazeta/dias/1817/04/12/pdfs/GMD-1817-44.pdf#page=3","Abrir facsímil")</f>
        <v>Abrir facsímil</v>
      </c>
      <c r="K2124" s="3" t="s">
        <v>23</v>
      </c>
    </row>
    <row r="2125" spans="1:11" ht="42" customHeight="1">
      <c r="A2125" s="2" t="s">
        <v>5143</v>
      </c>
      <c r="B2125" s="2" t="s">
        <v>5144</v>
      </c>
      <c r="C2125" s="2" t="s">
        <v>55</v>
      </c>
      <c r="D2125" s="2" t="s">
        <v>44</v>
      </c>
      <c r="E2125" s="5">
        <v>-30009</v>
      </c>
      <c r="F2125" s="3" t="s">
        <v>512</v>
      </c>
      <c r="G2125" s="3" t="s">
        <v>39</v>
      </c>
      <c r="H2125" s="2" t="s">
        <v>21</v>
      </c>
      <c r="I2125" s="2" t="s">
        <v>5145</v>
      </c>
      <c r="J2125" s="3" t="str">
        <f>HYPERLINK("https://www.boe.es/gazeta/dias/1817/11/01/pdfs/GMD-1817-131.pdf#page=5","Abrir facsímil")</f>
        <v>Abrir facsímil</v>
      </c>
      <c r="K2125" s="3" t="s">
        <v>23</v>
      </c>
    </row>
    <row r="2126" spans="1:11" ht="42" customHeight="1">
      <c r="A2126" s="2" t="s">
        <v>5146</v>
      </c>
      <c r="B2126" s="2" t="s">
        <v>5147</v>
      </c>
      <c r="C2126" s="2" t="s">
        <v>17</v>
      </c>
      <c r="D2126" s="2" t="s">
        <v>18</v>
      </c>
      <c r="E2126" s="5">
        <v>-30277</v>
      </c>
      <c r="F2126" s="3" t="s">
        <v>3822</v>
      </c>
      <c r="G2126" s="3" t="s">
        <v>77</v>
      </c>
      <c r="H2126" s="2" t="s">
        <v>21</v>
      </c>
      <c r="I2126" s="2" t="s">
        <v>5148</v>
      </c>
      <c r="J2126" s="3" t="str">
        <f>HYPERLINK("https://www.boe.es/gazeta/dias/1817/02/06/pdfs/GMD-1817-16.pdf#page=8","Abrir facsímil")</f>
        <v>Abrir facsímil</v>
      </c>
      <c r="K2126" s="3" t="s">
        <v>23</v>
      </c>
    </row>
    <row r="2127" spans="1:11" ht="42" customHeight="1">
      <c r="A2127" s="2" t="s">
        <v>5146</v>
      </c>
      <c r="B2127" s="2" t="s">
        <v>5147</v>
      </c>
      <c r="C2127" s="2" t="s">
        <v>510</v>
      </c>
      <c r="D2127" s="2" t="s">
        <v>44</v>
      </c>
      <c r="E2127" s="5">
        <v>-30130</v>
      </c>
      <c r="F2127" s="3" t="s">
        <v>768</v>
      </c>
      <c r="G2127" s="3" t="s">
        <v>77</v>
      </c>
      <c r="H2127" s="2" t="s">
        <v>21</v>
      </c>
      <c r="I2127" s="2" t="s">
        <v>5149</v>
      </c>
      <c r="J2127" s="3" t="str">
        <f>HYPERLINK("https://www.boe.es/gazeta/dias/1817/07/03/pdfs/GMD-1817-79.pdf#page=8","Abrir facsímil")</f>
        <v>Abrir facsímil</v>
      </c>
      <c r="K2127" s="3" t="s">
        <v>23</v>
      </c>
    </row>
    <row r="2128" spans="1:11" ht="42" customHeight="1">
      <c r="A2128" s="2" t="s">
        <v>5146</v>
      </c>
      <c r="B2128" s="2" t="s">
        <v>5147</v>
      </c>
      <c r="C2128" s="2" t="s">
        <v>17</v>
      </c>
      <c r="D2128" s="2" t="s">
        <v>18</v>
      </c>
      <c r="E2128" s="5">
        <v>-30076</v>
      </c>
      <c r="F2128" s="3" t="s">
        <v>439</v>
      </c>
      <c r="G2128" s="3" t="s">
        <v>77</v>
      </c>
      <c r="H2128" s="2" t="s">
        <v>21</v>
      </c>
      <c r="I2128" s="2" t="s">
        <v>5150</v>
      </c>
      <c r="J2128" s="3" t="str">
        <f>HYPERLINK("https://www.boe.es/gazeta/dias/1817/08/26/pdfs/GMD-1817-102.pdf#page=8","Abrir facsímil")</f>
        <v>Abrir facsímil</v>
      </c>
      <c r="K2128" s="3" t="s">
        <v>23</v>
      </c>
    </row>
    <row r="2129" spans="1:11" ht="42" customHeight="1">
      <c r="A2129" s="2" t="s">
        <v>5146</v>
      </c>
      <c r="B2129" s="2" t="s">
        <v>5147</v>
      </c>
      <c r="C2129" s="2" t="s">
        <v>49</v>
      </c>
      <c r="D2129" s="2" t="s">
        <v>44</v>
      </c>
      <c r="E2129" s="5">
        <v>-30032</v>
      </c>
      <c r="F2129" s="3" t="s">
        <v>337</v>
      </c>
      <c r="G2129" s="3" t="s">
        <v>77</v>
      </c>
      <c r="H2129" s="2" t="s">
        <v>21</v>
      </c>
      <c r="I2129" s="2" t="s">
        <v>5151</v>
      </c>
      <c r="J2129" s="3" t="str">
        <f>HYPERLINK("https://www.boe.es/gazeta/dias/1817/10/09/pdfs/GMD-1817-121.pdf#page=8","Abrir facsímil")</f>
        <v>Abrir facsímil</v>
      </c>
      <c r="K2129" s="3" t="s">
        <v>23</v>
      </c>
    </row>
    <row r="2130" spans="1:11" ht="42" customHeight="1">
      <c r="A2130" s="2" t="s">
        <v>5152</v>
      </c>
      <c r="B2130" s="2" t="s">
        <v>5153</v>
      </c>
      <c r="C2130" s="2" t="s">
        <v>36</v>
      </c>
      <c r="D2130" s="2" t="s">
        <v>37</v>
      </c>
      <c r="E2130" s="5">
        <v>-29981</v>
      </c>
      <c r="F2130" s="3" t="s">
        <v>111</v>
      </c>
      <c r="G2130" s="3" t="s">
        <v>5154</v>
      </c>
      <c r="H2130" s="2" t="s">
        <v>21</v>
      </c>
      <c r="I2130" s="2" t="s">
        <v>5155</v>
      </c>
      <c r="J2130" s="3" t="str">
        <f>HYPERLINK("https://www.boe.es/gazeta/dias/1817/11/29/pdfs/GMD-1817-143.pdf#page=2","Abrir facsímil")</f>
        <v>Abrir facsímil</v>
      </c>
      <c r="K2130" s="3" t="s">
        <v>23</v>
      </c>
    </row>
    <row r="2131" spans="1:11" ht="42" customHeight="1">
      <c r="A2131" s="2" t="s">
        <v>5156</v>
      </c>
      <c r="B2131" s="2" t="s">
        <v>5157</v>
      </c>
      <c r="C2131" s="2" t="s">
        <v>36</v>
      </c>
      <c r="D2131" s="2" t="s">
        <v>37</v>
      </c>
      <c r="E2131" s="5">
        <v>-30088</v>
      </c>
      <c r="F2131" s="3" t="s">
        <v>244</v>
      </c>
      <c r="G2131" s="3" t="s">
        <v>245</v>
      </c>
      <c r="H2131" s="2" t="s">
        <v>21</v>
      </c>
      <c r="I2131" s="2" t="s">
        <v>5158</v>
      </c>
      <c r="J2131" s="3" t="str">
        <f>HYPERLINK("https://www.boe.es/gazeta/dias/1817/08/14/pdfs/GMD-1817-97.pdf#page=8","Abrir facsímil")</f>
        <v>Abrir facsímil</v>
      </c>
      <c r="K2131" s="3" t="s">
        <v>23</v>
      </c>
    </row>
    <row r="2132" spans="1:11" ht="42" customHeight="1">
      <c r="A2132" s="2" t="s">
        <v>5159</v>
      </c>
      <c r="B2132" s="2" t="s">
        <v>5160</v>
      </c>
      <c r="C2132" s="2" t="s">
        <v>43</v>
      </c>
      <c r="D2132" s="2" t="s">
        <v>44</v>
      </c>
      <c r="E2132" s="5">
        <v>-30044</v>
      </c>
      <c r="F2132" s="3" t="s">
        <v>450</v>
      </c>
      <c r="G2132" s="3" t="s">
        <v>1381</v>
      </c>
      <c r="H2132" s="2" t="s">
        <v>21</v>
      </c>
      <c r="I2132" s="2" t="s">
        <v>5161</v>
      </c>
      <c r="J2132" s="3" t="str">
        <f>HYPERLINK("https://www.boe.es/gazeta/dias/1817/09/27/pdfs/GMD-1817-116.pdf#page=4","Abrir facsímil")</f>
        <v>Abrir facsímil</v>
      </c>
      <c r="K2132" s="3" t="s">
        <v>23</v>
      </c>
    </row>
    <row r="2133" spans="1:11" ht="42" customHeight="1">
      <c r="A2133" s="2" t="s">
        <v>5162</v>
      </c>
      <c r="B2133" s="2" t="s">
        <v>5163</v>
      </c>
      <c r="C2133" s="2" t="s">
        <v>43</v>
      </c>
      <c r="D2133" s="2" t="s">
        <v>44</v>
      </c>
      <c r="E2133" s="5">
        <v>-30305</v>
      </c>
      <c r="F2133" s="3" t="s">
        <v>405</v>
      </c>
      <c r="G2133" s="3" t="s">
        <v>77</v>
      </c>
      <c r="H2133" s="2" t="s">
        <v>21</v>
      </c>
      <c r="I2133" s="2" t="s">
        <v>5164</v>
      </c>
      <c r="J2133" s="3" t="str">
        <f>HYPERLINK("https://www.boe.es/gazeta/dias/1817/01/09/pdfs/GMD-1817-4.pdf#page=8","Abrir facsímil")</f>
        <v>Abrir facsímil</v>
      </c>
      <c r="K2133" s="3" t="s">
        <v>23</v>
      </c>
    </row>
    <row r="2134" spans="1:11" ht="42" customHeight="1">
      <c r="A2134" s="2" t="s">
        <v>5165</v>
      </c>
      <c r="B2134" s="2" t="s">
        <v>5166</v>
      </c>
      <c r="C2134" s="2" t="s">
        <v>55</v>
      </c>
      <c r="D2134" s="2" t="s">
        <v>44</v>
      </c>
      <c r="E2134" s="5">
        <v>-30027</v>
      </c>
      <c r="F2134" s="3" t="s">
        <v>173</v>
      </c>
      <c r="G2134" s="3" t="s">
        <v>77</v>
      </c>
      <c r="H2134" s="2" t="s">
        <v>21</v>
      </c>
      <c r="I2134" s="2" t="s">
        <v>5167</v>
      </c>
      <c r="J2134" s="3" t="str">
        <f>HYPERLINK("https://www.boe.es/gazeta/dias/1817/10/14/pdfs/GMD-1817-123.pdf#page=8","Abrir facsímil")</f>
        <v>Abrir facsímil</v>
      </c>
      <c r="K2134" s="3" t="s">
        <v>23</v>
      </c>
    </row>
    <row r="2135" spans="1:11" ht="42" customHeight="1">
      <c r="A2135" s="2" t="s">
        <v>5168</v>
      </c>
      <c r="B2135" s="2" t="s">
        <v>5169</v>
      </c>
      <c r="C2135" s="2" t="s">
        <v>17</v>
      </c>
      <c r="D2135" s="2" t="s">
        <v>18</v>
      </c>
      <c r="E2135" s="5">
        <v>-30177</v>
      </c>
      <c r="F2135" s="3" t="s">
        <v>633</v>
      </c>
      <c r="G2135" s="3" t="s">
        <v>77</v>
      </c>
      <c r="H2135" s="2" t="s">
        <v>21</v>
      </c>
      <c r="I2135" s="2" t="s">
        <v>5170</v>
      </c>
      <c r="J2135" s="3" t="str">
        <f>HYPERLINK("https://www.boe.es/gazeta/dias/1817/05/17/pdfs/GMD-1817-59.pdf#page=8","Abrir facsímil")</f>
        <v>Abrir facsímil</v>
      </c>
      <c r="K2135" s="3" t="s">
        <v>23</v>
      </c>
    </row>
    <row r="2136" spans="1:11" ht="42" customHeight="1">
      <c r="A2136" s="2" t="s">
        <v>5171</v>
      </c>
      <c r="B2136" s="2" t="s">
        <v>5171</v>
      </c>
      <c r="C2136" s="2" t="s">
        <v>17</v>
      </c>
      <c r="D2136" s="2" t="s">
        <v>18</v>
      </c>
      <c r="E2136" s="5">
        <v>-30312</v>
      </c>
      <c r="F2136" s="3" t="s">
        <v>86</v>
      </c>
      <c r="G2136" s="3" t="s">
        <v>39</v>
      </c>
      <c r="H2136" s="2" t="s">
        <v>21</v>
      </c>
      <c r="I2136" s="2" t="s">
        <v>5172</v>
      </c>
      <c r="J2136" s="3" t="str">
        <f>HYPERLINK("https://www.boe.es/gazeta/dias/1817/01/02/pdfs/GMD-1817-1.pdf#page=5","Abrir facsímil")</f>
        <v>Abrir facsímil</v>
      </c>
      <c r="K2136" s="3" t="s">
        <v>23</v>
      </c>
    </row>
    <row r="2137" spans="1:11" ht="42" customHeight="1">
      <c r="A2137" s="2" t="s">
        <v>5173</v>
      </c>
      <c r="B2137" s="2" t="s">
        <v>5173</v>
      </c>
      <c r="C2137" s="2" t="s">
        <v>97</v>
      </c>
      <c r="D2137" s="2" t="s">
        <v>44</v>
      </c>
      <c r="E2137" s="5">
        <v>-29960</v>
      </c>
      <c r="F2137" s="3" t="s">
        <v>657</v>
      </c>
      <c r="G2137" s="3" t="s">
        <v>82</v>
      </c>
      <c r="H2137" s="2" t="s">
        <v>21</v>
      </c>
      <c r="I2137" s="2" t="s">
        <v>5174</v>
      </c>
      <c r="J2137" s="3" t="str">
        <f>HYPERLINK("https://www.boe.es/gazeta/dias/1817/12/20/pdfs/GMD-1817-152.pdf#page=12","Abrir facsímil")</f>
        <v>Abrir facsímil</v>
      </c>
      <c r="K2137" s="3" t="s">
        <v>23</v>
      </c>
    </row>
    <row r="2138" spans="1:11" ht="42" customHeight="1">
      <c r="A2138" s="2" t="s">
        <v>5175</v>
      </c>
      <c r="B2138" s="2" t="s">
        <v>5175</v>
      </c>
      <c r="C2138" s="2" t="s">
        <v>17</v>
      </c>
      <c r="D2138" s="2" t="s">
        <v>18</v>
      </c>
      <c r="E2138" s="5">
        <v>-30307</v>
      </c>
      <c r="F2138" s="3" t="s">
        <v>67</v>
      </c>
      <c r="G2138" s="3" t="s">
        <v>68</v>
      </c>
      <c r="H2138" s="2" t="s">
        <v>21</v>
      </c>
      <c r="I2138" s="2" t="s">
        <v>5176</v>
      </c>
      <c r="J2138" s="3" t="str">
        <f>HYPERLINK("https://www.boe.es/gazeta/dias/1817/01/07/pdfs/GMD-1817-3.pdf#page=8","Abrir facsímil")</f>
        <v>Abrir facsímil</v>
      </c>
      <c r="K2138" s="3" t="s">
        <v>23</v>
      </c>
    </row>
    <row r="2139" spans="1:11" ht="42" customHeight="1">
      <c r="A2139" s="2" t="s">
        <v>5175</v>
      </c>
      <c r="B2139" s="2" t="s">
        <v>5175</v>
      </c>
      <c r="C2139" s="2" t="s">
        <v>17</v>
      </c>
      <c r="D2139" s="2" t="s">
        <v>18</v>
      </c>
      <c r="E2139" s="5">
        <v>-30298</v>
      </c>
      <c r="F2139" s="3" t="s">
        <v>489</v>
      </c>
      <c r="G2139" s="3" t="s">
        <v>77</v>
      </c>
      <c r="H2139" s="2" t="s">
        <v>21</v>
      </c>
      <c r="I2139" s="2" t="s">
        <v>5177</v>
      </c>
      <c r="J2139" s="3" t="str">
        <f>HYPERLINK("https://www.boe.es/gazeta/dias/1817/01/16/pdfs/GMD-1817-7.pdf#page=8","Abrir facsímil")</f>
        <v>Abrir facsímil</v>
      </c>
      <c r="K2139" s="3" t="s">
        <v>23</v>
      </c>
    </row>
    <row r="2140" spans="1:11" ht="42" customHeight="1">
      <c r="A2140" s="2" t="s">
        <v>5175</v>
      </c>
      <c r="B2140" s="2" t="s">
        <v>5175</v>
      </c>
      <c r="C2140" s="2" t="s">
        <v>17</v>
      </c>
      <c r="D2140" s="2" t="s">
        <v>18</v>
      </c>
      <c r="E2140" s="5">
        <v>-30291</v>
      </c>
      <c r="F2140" s="3" t="s">
        <v>1041</v>
      </c>
      <c r="G2140" s="3" t="s">
        <v>20</v>
      </c>
      <c r="H2140" s="2" t="s">
        <v>21</v>
      </c>
      <c r="I2140" s="2" t="s">
        <v>5178</v>
      </c>
      <c r="J2140" s="3" t="str">
        <f>HYPERLINK("https://www.boe.es/gazeta/dias/1817/01/23/pdfs/GMD-1817-10.pdf#page=7","Abrir facsímil")</f>
        <v>Abrir facsímil</v>
      </c>
      <c r="K2140" s="3" t="s">
        <v>23</v>
      </c>
    </row>
    <row r="2141" spans="1:11" ht="42" customHeight="1">
      <c r="A2141" s="2" t="s">
        <v>5175</v>
      </c>
      <c r="B2141" s="2" t="s">
        <v>5175</v>
      </c>
      <c r="C2141" s="2" t="s">
        <v>17</v>
      </c>
      <c r="D2141" s="2" t="s">
        <v>18</v>
      </c>
      <c r="E2141" s="5">
        <v>-30286</v>
      </c>
      <c r="F2141" s="3" t="s">
        <v>354</v>
      </c>
      <c r="G2141" s="3" t="s">
        <v>77</v>
      </c>
      <c r="H2141" s="2" t="s">
        <v>21</v>
      </c>
      <c r="I2141" s="2" t="s">
        <v>5179</v>
      </c>
      <c r="J2141" s="3" t="str">
        <f>HYPERLINK("https://www.boe.es/gazeta/dias/1817/01/28/pdfs/GMD-1817-12.pdf#page=8","Abrir facsímil")</f>
        <v>Abrir facsímil</v>
      </c>
      <c r="K2141" s="3" t="s">
        <v>23</v>
      </c>
    </row>
    <row r="2142" spans="1:11" ht="42" customHeight="1">
      <c r="A2142" s="2" t="s">
        <v>5175</v>
      </c>
      <c r="B2142" s="2" t="s">
        <v>5175</v>
      </c>
      <c r="C2142" s="2" t="s">
        <v>17</v>
      </c>
      <c r="D2142" s="2" t="s">
        <v>18</v>
      </c>
      <c r="E2142" s="5">
        <v>-30284</v>
      </c>
      <c r="F2142" s="3" t="s">
        <v>741</v>
      </c>
      <c r="G2142" s="3" t="s">
        <v>20</v>
      </c>
      <c r="H2142" s="2" t="s">
        <v>21</v>
      </c>
      <c r="I2142" s="2" t="s">
        <v>5180</v>
      </c>
      <c r="J2142" s="3" t="str">
        <f>HYPERLINK("https://www.boe.es/gazeta/dias/1817/01/30/pdfs/GMD-1817-13.pdf#page=7","Abrir facsímil")</f>
        <v>Abrir facsímil</v>
      </c>
      <c r="K2142" s="3" t="s">
        <v>23</v>
      </c>
    </row>
    <row r="2143" spans="1:11" ht="42" customHeight="1">
      <c r="A2143" s="2" t="s">
        <v>5175</v>
      </c>
      <c r="B2143" s="2" t="s">
        <v>5175</v>
      </c>
      <c r="C2143" s="2" t="s">
        <v>17</v>
      </c>
      <c r="D2143" s="2" t="s">
        <v>18</v>
      </c>
      <c r="E2143" s="5">
        <v>-30282</v>
      </c>
      <c r="F2143" s="3" t="s">
        <v>1049</v>
      </c>
      <c r="G2143" s="3" t="s">
        <v>2827</v>
      </c>
      <c r="H2143" s="2" t="s">
        <v>21</v>
      </c>
      <c r="I2143" s="2" t="s">
        <v>5181</v>
      </c>
      <c r="J2143" s="3" t="str">
        <f>HYPERLINK("https://www.boe.es/gazeta/dias/1817/02/01/pdfs/GMD-1817-14.pdf#page=8","Abrir facsímil")</f>
        <v>Abrir facsímil</v>
      </c>
      <c r="K2143" s="3" t="s">
        <v>23</v>
      </c>
    </row>
    <row r="2144" spans="1:11" ht="42" customHeight="1">
      <c r="A2144" s="2" t="s">
        <v>5175</v>
      </c>
      <c r="B2144" s="2" t="s">
        <v>5175</v>
      </c>
      <c r="C2144" s="2" t="s">
        <v>138</v>
      </c>
      <c r="D2144" s="2" t="s">
        <v>44</v>
      </c>
      <c r="E2144" s="5">
        <v>-30275</v>
      </c>
      <c r="F2144" s="3" t="s">
        <v>1025</v>
      </c>
      <c r="G2144" s="3" t="s">
        <v>144</v>
      </c>
      <c r="H2144" s="2" t="s">
        <v>21</v>
      </c>
      <c r="I2144" s="2" t="s">
        <v>5182</v>
      </c>
      <c r="J2144" s="3" t="str">
        <f>HYPERLINK("https://www.boe.es/gazeta/dias/1817/02/08/pdfs/GMD-1817-17.pdf#page=4","Abrir facsímil")</f>
        <v>Abrir facsímil</v>
      </c>
      <c r="K2144" s="3" t="s">
        <v>23</v>
      </c>
    </row>
    <row r="2145" spans="1:11" ht="42" customHeight="1">
      <c r="A2145" s="2" t="s">
        <v>5175</v>
      </c>
      <c r="B2145" s="2" t="s">
        <v>5175</v>
      </c>
      <c r="C2145" s="2" t="s">
        <v>17</v>
      </c>
      <c r="D2145" s="2" t="s">
        <v>18</v>
      </c>
      <c r="E2145" s="5">
        <v>-30275</v>
      </c>
      <c r="F2145" s="3" t="s">
        <v>1025</v>
      </c>
      <c r="G2145" s="3" t="s">
        <v>77</v>
      </c>
      <c r="H2145" s="2" t="s">
        <v>21</v>
      </c>
      <c r="I2145" s="2" t="s">
        <v>5183</v>
      </c>
      <c r="J2145" s="3" t="str">
        <f>HYPERLINK("https://www.boe.es/gazeta/dias/1817/02/08/pdfs/GMD-1817-17.pdf#page=8","Abrir facsímil")</f>
        <v>Abrir facsímil</v>
      </c>
      <c r="K2145" s="3" t="s">
        <v>23</v>
      </c>
    </row>
    <row r="2146" spans="1:11" ht="42" customHeight="1">
      <c r="A2146" s="2" t="s">
        <v>5175</v>
      </c>
      <c r="B2146" s="2" t="s">
        <v>5175</v>
      </c>
      <c r="C2146" s="2" t="s">
        <v>17</v>
      </c>
      <c r="D2146" s="2" t="s">
        <v>18</v>
      </c>
      <c r="E2146" s="5">
        <v>-30265</v>
      </c>
      <c r="F2146" s="3" t="s">
        <v>107</v>
      </c>
      <c r="G2146" s="3" t="s">
        <v>77</v>
      </c>
      <c r="H2146" s="2" t="s">
        <v>21</v>
      </c>
      <c r="I2146" s="2" t="s">
        <v>5184</v>
      </c>
      <c r="J2146" s="3" t="str">
        <f>HYPERLINK("https://www.boe.es/gazeta/dias/1817/02/18/pdfs/GMD-1817-21.pdf#page=8","Abrir facsímil")</f>
        <v>Abrir facsímil</v>
      </c>
      <c r="K2146" s="3" t="s">
        <v>23</v>
      </c>
    </row>
    <row r="2147" spans="1:11" ht="42" customHeight="1">
      <c r="A2147" s="2" t="s">
        <v>5175</v>
      </c>
      <c r="B2147" s="2" t="s">
        <v>5175</v>
      </c>
      <c r="C2147" s="2" t="s">
        <v>17</v>
      </c>
      <c r="D2147" s="2" t="s">
        <v>18</v>
      </c>
      <c r="E2147" s="5">
        <v>-30258</v>
      </c>
      <c r="F2147" s="3" t="s">
        <v>234</v>
      </c>
      <c r="G2147" s="3" t="s">
        <v>77</v>
      </c>
      <c r="H2147" s="2" t="s">
        <v>21</v>
      </c>
      <c r="I2147" s="2" t="s">
        <v>5185</v>
      </c>
      <c r="J2147" s="3" t="str">
        <f>HYPERLINK("https://www.boe.es/gazeta/dias/1817/02/25/pdfs/GMD-1817-24.pdf#page=8","Abrir facsímil")</f>
        <v>Abrir facsímil</v>
      </c>
      <c r="K2147" s="3" t="s">
        <v>23</v>
      </c>
    </row>
    <row r="2148" spans="1:11" ht="42" customHeight="1">
      <c r="A2148" s="2" t="s">
        <v>5175</v>
      </c>
      <c r="B2148" s="2" t="s">
        <v>5175</v>
      </c>
      <c r="C2148" s="2" t="s">
        <v>17</v>
      </c>
      <c r="D2148" s="2" t="s">
        <v>18</v>
      </c>
      <c r="E2148" s="5">
        <v>-30254</v>
      </c>
      <c r="F2148" s="3" t="s">
        <v>124</v>
      </c>
      <c r="G2148" s="3" t="s">
        <v>20</v>
      </c>
      <c r="H2148" s="2" t="s">
        <v>21</v>
      </c>
      <c r="I2148" s="2" t="s">
        <v>5186</v>
      </c>
      <c r="J2148" s="3" t="str">
        <f>HYPERLINK("https://www.boe.es/gazeta/dias/1817/03/01/pdfs/GMD-1817-26.pdf#page=7","Abrir facsímil")</f>
        <v>Abrir facsímil</v>
      </c>
      <c r="K2148" s="3" t="s">
        <v>23</v>
      </c>
    </row>
    <row r="2149" spans="1:11" ht="42" customHeight="1">
      <c r="A2149" s="2" t="s">
        <v>5175</v>
      </c>
      <c r="B2149" s="2" t="s">
        <v>5175</v>
      </c>
      <c r="C2149" s="2" t="s">
        <v>17</v>
      </c>
      <c r="D2149" s="2" t="s">
        <v>18</v>
      </c>
      <c r="E2149" s="5">
        <v>-30249</v>
      </c>
      <c r="F2149" s="3" t="s">
        <v>120</v>
      </c>
      <c r="G2149" s="3" t="s">
        <v>77</v>
      </c>
      <c r="H2149" s="2" t="s">
        <v>21</v>
      </c>
      <c r="I2149" s="2" t="s">
        <v>5187</v>
      </c>
      <c r="J2149" s="3" t="str">
        <f>HYPERLINK("https://www.boe.es/gazeta/dias/1817/03/06/pdfs/GMD-1817-28.pdf#page=8","Abrir facsímil")</f>
        <v>Abrir facsímil</v>
      </c>
      <c r="K2149" s="3" t="s">
        <v>23</v>
      </c>
    </row>
    <row r="2150" spans="1:11" ht="42" customHeight="1">
      <c r="A2150" s="2" t="s">
        <v>5175</v>
      </c>
      <c r="B2150" s="2" t="s">
        <v>5175</v>
      </c>
      <c r="C2150" s="2" t="s">
        <v>97</v>
      </c>
      <c r="D2150" s="2" t="s">
        <v>44</v>
      </c>
      <c r="E2150" s="5">
        <v>-30240</v>
      </c>
      <c r="F2150" s="3" t="s">
        <v>347</v>
      </c>
      <c r="G2150" s="3" t="s">
        <v>77</v>
      </c>
      <c r="H2150" s="2" t="s">
        <v>21</v>
      </c>
      <c r="I2150" s="2" t="s">
        <v>5188</v>
      </c>
      <c r="J2150" s="3" t="str">
        <f>HYPERLINK("https://www.boe.es/gazeta/dias/1817/03/15/pdfs/GMD-1817-32.pdf#page=8","Abrir facsímil")</f>
        <v>Abrir facsímil</v>
      </c>
      <c r="K2150" s="3" t="s">
        <v>23</v>
      </c>
    </row>
    <row r="2151" spans="1:11" ht="42" customHeight="1">
      <c r="A2151" s="2" t="s">
        <v>5175</v>
      </c>
      <c r="B2151" s="2" t="s">
        <v>5175</v>
      </c>
      <c r="C2151" s="2" t="s">
        <v>17</v>
      </c>
      <c r="D2151" s="2" t="s">
        <v>18</v>
      </c>
      <c r="E2151" s="5">
        <v>-30233</v>
      </c>
      <c r="F2151" s="3" t="s">
        <v>577</v>
      </c>
      <c r="G2151" s="3" t="s">
        <v>578</v>
      </c>
      <c r="H2151" s="2" t="s">
        <v>21</v>
      </c>
      <c r="I2151" s="2" t="s">
        <v>5189</v>
      </c>
      <c r="J2151" s="3" t="str">
        <f>HYPERLINK("https://www.boe.es/gazeta/dias/1817/03/22/pdfs/GMD-1817-35.pdf#page=8","Abrir facsímil")</f>
        <v>Abrir facsímil</v>
      </c>
      <c r="K2151" s="3" t="s">
        <v>23</v>
      </c>
    </row>
    <row r="2152" spans="1:11" ht="42" customHeight="1">
      <c r="A2152" s="2" t="s">
        <v>5175</v>
      </c>
      <c r="B2152" s="2" t="s">
        <v>5175</v>
      </c>
      <c r="C2152" s="2" t="s">
        <v>17</v>
      </c>
      <c r="D2152" s="2" t="s">
        <v>18</v>
      </c>
      <c r="E2152" s="5">
        <v>-30223</v>
      </c>
      <c r="F2152" s="3" t="s">
        <v>627</v>
      </c>
      <c r="G2152" s="3" t="s">
        <v>1721</v>
      </c>
      <c r="H2152" s="2" t="s">
        <v>21</v>
      </c>
      <c r="I2152" s="2" t="s">
        <v>5190</v>
      </c>
      <c r="J2152" s="3" t="str">
        <f>HYPERLINK("https://www.boe.es/gazeta/dias/1817/04/01/pdfs/GMD-1817-39.pdf#page=7","Abrir facsímil")</f>
        <v>Abrir facsímil</v>
      </c>
      <c r="K2152" s="3" t="s">
        <v>23</v>
      </c>
    </row>
    <row r="2153" spans="1:11" ht="42" customHeight="1">
      <c r="A2153" s="2" t="s">
        <v>5175</v>
      </c>
      <c r="B2153" s="2" t="s">
        <v>5175</v>
      </c>
      <c r="C2153" s="2" t="s">
        <v>17</v>
      </c>
      <c r="D2153" s="2" t="s">
        <v>18</v>
      </c>
      <c r="E2153" s="5">
        <v>-30212</v>
      </c>
      <c r="F2153" s="3" t="s">
        <v>745</v>
      </c>
      <c r="G2153" s="3" t="s">
        <v>77</v>
      </c>
      <c r="H2153" s="2" t="s">
        <v>21</v>
      </c>
      <c r="I2153" s="2" t="s">
        <v>5191</v>
      </c>
      <c r="J2153" s="3" t="str">
        <f>HYPERLINK("https://www.boe.es/gazeta/dias/1817/04/12/pdfs/GMD-1817-44.pdf#page=8","Abrir facsímil")</f>
        <v>Abrir facsímil</v>
      </c>
      <c r="K2153" s="3" t="s">
        <v>23</v>
      </c>
    </row>
    <row r="2154" spans="1:11" ht="42" customHeight="1">
      <c r="A2154" s="2" t="s">
        <v>5175</v>
      </c>
      <c r="B2154" s="2" t="s">
        <v>5175</v>
      </c>
      <c r="C2154" s="2" t="s">
        <v>17</v>
      </c>
      <c r="D2154" s="2" t="s">
        <v>18</v>
      </c>
      <c r="E2154" s="5">
        <v>-30209</v>
      </c>
      <c r="F2154" s="3" t="s">
        <v>1478</v>
      </c>
      <c r="G2154" s="3" t="s">
        <v>77</v>
      </c>
      <c r="H2154" s="2" t="s">
        <v>21</v>
      </c>
      <c r="I2154" s="2" t="s">
        <v>5192</v>
      </c>
      <c r="J2154" s="3" t="str">
        <f>HYPERLINK("https://www.boe.es/gazeta/dias/1817/04/15/pdfs/GMD-1817-45.pdf#page=8","Abrir facsímil")</f>
        <v>Abrir facsímil</v>
      </c>
      <c r="K2154" s="3" t="s">
        <v>23</v>
      </c>
    </row>
    <row r="2155" spans="1:11" ht="42" customHeight="1">
      <c r="A2155" s="2" t="s">
        <v>5175</v>
      </c>
      <c r="B2155" s="2" t="s">
        <v>5175</v>
      </c>
      <c r="C2155" s="2" t="s">
        <v>17</v>
      </c>
      <c r="D2155" s="2" t="s">
        <v>18</v>
      </c>
      <c r="E2155" s="5">
        <v>-30202</v>
      </c>
      <c r="F2155" s="3" t="s">
        <v>418</v>
      </c>
      <c r="G2155" s="3" t="s">
        <v>77</v>
      </c>
      <c r="H2155" s="2" t="s">
        <v>21</v>
      </c>
      <c r="I2155" s="2" t="s">
        <v>5193</v>
      </c>
      <c r="J2155" s="3" t="str">
        <f>HYPERLINK("https://www.boe.es/gazeta/dias/1817/04/22/pdfs/GMD-1817-48.pdf#page=8","Abrir facsímil")</f>
        <v>Abrir facsímil</v>
      </c>
      <c r="K2155" s="3" t="s">
        <v>23</v>
      </c>
    </row>
    <row r="2156" spans="1:11" ht="42" customHeight="1">
      <c r="A2156" s="2" t="s">
        <v>5175</v>
      </c>
      <c r="B2156" s="2" t="s">
        <v>5175</v>
      </c>
      <c r="C2156" s="2" t="s">
        <v>17</v>
      </c>
      <c r="D2156" s="2" t="s">
        <v>18</v>
      </c>
      <c r="E2156" s="5">
        <v>-30195</v>
      </c>
      <c r="F2156" s="3" t="s">
        <v>1163</v>
      </c>
      <c r="G2156" s="3" t="s">
        <v>4945</v>
      </c>
      <c r="H2156" s="2" t="s">
        <v>21</v>
      </c>
      <c r="I2156" s="2" t="s">
        <v>5194</v>
      </c>
      <c r="J2156" s="3" t="str">
        <f>HYPERLINK("https://www.boe.es/gazeta/dias/1817/04/29/pdfs/GMD-1817-51.pdf#page=8","Abrir facsímil")</f>
        <v>Abrir facsímil</v>
      </c>
      <c r="K2156" s="3" t="s">
        <v>23</v>
      </c>
    </row>
    <row r="2157" spans="1:11" ht="42" customHeight="1">
      <c r="A2157" s="2" t="s">
        <v>5175</v>
      </c>
      <c r="B2157" s="2" t="s">
        <v>5175</v>
      </c>
      <c r="C2157" s="2" t="s">
        <v>17</v>
      </c>
      <c r="D2157" s="2" t="s">
        <v>18</v>
      </c>
      <c r="E2157" s="5">
        <v>-30193</v>
      </c>
      <c r="F2157" s="3" t="s">
        <v>38</v>
      </c>
      <c r="G2157" s="3" t="s">
        <v>77</v>
      </c>
      <c r="H2157" s="2" t="s">
        <v>21</v>
      </c>
      <c r="I2157" s="2" t="s">
        <v>5195</v>
      </c>
      <c r="J2157" s="3" t="str">
        <f>HYPERLINK("https://www.boe.es/gazeta/dias/1817/05/01/pdfs/GMD-1817-52.pdf#page=8","Abrir facsímil")</f>
        <v>Abrir facsímil</v>
      </c>
      <c r="K2157" s="3" t="s">
        <v>23</v>
      </c>
    </row>
    <row r="2158" spans="1:11" ht="42" customHeight="1">
      <c r="A2158" s="2" t="s">
        <v>5175</v>
      </c>
      <c r="B2158" s="2" t="s">
        <v>5175</v>
      </c>
      <c r="C2158" s="2" t="s">
        <v>17</v>
      </c>
      <c r="D2158" s="2" t="s">
        <v>18</v>
      </c>
      <c r="E2158" s="5">
        <v>-30174</v>
      </c>
      <c r="F2158" s="3" t="s">
        <v>19</v>
      </c>
      <c r="G2158" s="3" t="s">
        <v>20</v>
      </c>
      <c r="H2158" s="2" t="s">
        <v>21</v>
      </c>
      <c r="I2158" s="2" t="s">
        <v>5196</v>
      </c>
      <c r="J2158" s="3" t="str">
        <f>HYPERLINK("https://www.boe.es/gazeta/dias/1817/05/20/pdfs/GMD-1817-60.pdf#page=7","Abrir facsímil")</f>
        <v>Abrir facsímil</v>
      </c>
      <c r="K2158" s="3" t="s">
        <v>23</v>
      </c>
    </row>
    <row r="2159" spans="1:11" ht="42" customHeight="1">
      <c r="A2159" s="2" t="s">
        <v>5175</v>
      </c>
      <c r="B2159" s="2" t="s">
        <v>5175</v>
      </c>
      <c r="C2159" s="2" t="s">
        <v>17</v>
      </c>
      <c r="D2159" s="2" t="s">
        <v>18</v>
      </c>
      <c r="E2159" s="5">
        <v>-30172</v>
      </c>
      <c r="F2159" s="3" t="s">
        <v>991</v>
      </c>
      <c r="G2159" s="3" t="s">
        <v>77</v>
      </c>
      <c r="H2159" s="2" t="s">
        <v>21</v>
      </c>
      <c r="I2159" s="2" t="s">
        <v>5197</v>
      </c>
      <c r="J2159" s="3" t="str">
        <f>HYPERLINK("https://www.boe.es/gazeta/dias/1817/05/22/pdfs/GMD-1817-61.pdf#page=8","Abrir facsímil")</f>
        <v>Abrir facsímil</v>
      </c>
      <c r="K2159" s="3" t="s">
        <v>23</v>
      </c>
    </row>
    <row r="2160" spans="1:11" ht="42" customHeight="1">
      <c r="A2160" s="2" t="s">
        <v>5175</v>
      </c>
      <c r="B2160" s="2" t="s">
        <v>5175</v>
      </c>
      <c r="C2160" s="2" t="s">
        <v>17</v>
      </c>
      <c r="D2160" s="2" t="s">
        <v>18</v>
      </c>
      <c r="E2160" s="5">
        <v>-30156</v>
      </c>
      <c r="F2160" s="3" t="s">
        <v>635</v>
      </c>
      <c r="G2160" s="3" t="s">
        <v>77</v>
      </c>
      <c r="H2160" s="2" t="s">
        <v>21</v>
      </c>
      <c r="I2160" s="2" t="s">
        <v>5198</v>
      </c>
      <c r="J2160" s="3" t="str">
        <f>HYPERLINK("https://www.boe.es/gazeta/dias/1817/06/07/pdfs/GMD-1817-68.pdf#page=8","Abrir facsímil")</f>
        <v>Abrir facsímil</v>
      </c>
      <c r="K2160" s="3" t="s">
        <v>23</v>
      </c>
    </row>
    <row r="2161" spans="1:11" ht="42" customHeight="1">
      <c r="A2161" s="2" t="s">
        <v>5175</v>
      </c>
      <c r="B2161" s="2" t="s">
        <v>5175</v>
      </c>
      <c r="C2161" s="2" t="s">
        <v>97</v>
      </c>
      <c r="D2161" s="2" t="s">
        <v>44</v>
      </c>
      <c r="E2161" s="5">
        <v>-30151</v>
      </c>
      <c r="F2161" s="3" t="s">
        <v>1422</v>
      </c>
      <c r="G2161" s="3" t="s">
        <v>77</v>
      </c>
      <c r="H2161" s="2" t="s">
        <v>21</v>
      </c>
      <c r="I2161" s="2" t="s">
        <v>5199</v>
      </c>
      <c r="J2161" s="3" t="str">
        <f>HYPERLINK("https://www.boe.es/gazeta/dias/1817/06/12/pdfs/GMD-1817-70.pdf#page=8","Abrir facsímil")</f>
        <v>Abrir facsímil</v>
      </c>
      <c r="K2161" s="3" t="s">
        <v>23</v>
      </c>
    </row>
    <row r="2162" spans="1:11" ht="42" customHeight="1">
      <c r="A2162" s="2" t="s">
        <v>5175</v>
      </c>
      <c r="B2162" s="2" t="s">
        <v>5175</v>
      </c>
      <c r="C2162" s="2" t="s">
        <v>17</v>
      </c>
      <c r="D2162" s="2" t="s">
        <v>18</v>
      </c>
      <c r="E2162" s="5">
        <v>-30146</v>
      </c>
      <c r="F2162" s="3" t="s">
        <v>1005</v>
      </c>
      <c r="G2162" s="3" t="s">
        <v>1006</v>
      </c>
      <c r="H2162" s="2" t="s">
        <v>21</v>
      </c>
      <c r="I2162" s="2" t="s">
        <v>5200</v>
      </c>
      <c r="J2162" s="3" t="str">
        <f>HYPERLINK("https://www.boe.es/gazeta/dias/1817/06/17/pdfs/GMD-1817-72.pdf#page=8","Abrir facsímil")</f>
        <v>Abrir facsímil</v>
      </c>
      <c r="K2162" s="3" t="s">
        <v>23</v>
      </c>
    </row>
    <row r="2163" spans="1:11" ht="42" customHeight="1">
      <c r="A2163" s="2" t="s">
        <v>5175</v>
      </c>
      <c r="B2163" s="2" t="s">
        <v>5175</v>
      </c>
      <c r="C2163" s="2" t="s">
        <v>17</v>
      </c>
      <c r="D2163" s="2" t="s">
        <v>18</v>
      </c>
      <c r="E2163" s="5">
        <v>-30144</v>
      </c>
      <c r="F2163" s="3" t="s">
        <v>846</v>
      </c>
      <c r="G2163" s="3" t="s">
        <v>77</v>
      </c>
      <c r="H2163" s="2" t="s">
        <v>21</v>
      </c>
      <c r="I2163" s="2" t="s">
        <v>5201</v>
      </c>
      <c r="J2163" s="3" t="str">
        <f>HYPERLINK("https://www.boe.es/gazeta/dias/1817/06/19/pdfs/GMD-1817-73.pdf#page=8","Abrir facsímil")</f>
        <v>Abrir facsímil</v>
      </c>
      <c r="K2163" s="3" t="s">
        <v>23</v>
      </c>
    </row>
    <row r="2164" spans="1:11" ht="42" customHeight="1">
      <c r="A2164" s="2" t="s">
        <v>5202</v>
      </c>
      <c r="B2164" s="2" t="s">
        <v>5202</v>
      </c>
      <c r="C2164" s="2" t="s">
        <v>17</v>
      </c>
      <c r="D2164" s="2" t="s">
        <v>18</v>
      </c>
      <c r="E2164" s="5">
        <v>-30135</v>
      </c>
      <c r="F2164" s="3" t="s">
        <v>239</v>
      </c>
      <c r="G2164" s="3" t="s">
        <v>240</v>
      </c>
      <c r="H2164" s="2" t="s">
        <v>21</v>
      </c>
      <c r="I2164" s="2" t="s">
        <v>5203</v>
      </c>
      <c r="J2164" s="3" t="str">
        <f>HYPERLINK("https://www.boe.es/gazeta/dias/1817/06/28/pdfs/GMD-1817-77.pdf#page=7","Abrir facsímil")</f>
        <v>Abrir facsímil</v>
      </c>
      <c r="K2164" s="3" t="s">
        <v>23</v>
      </c>
    </row>
    <row r="2165" spans="1:11" ht="42" customHeight="1">
      <c r="A2165" s="2" t="s">
        <v>5175</v>
      </c>
      <c r="B2165" s="2" t="s">
        <v>5175</v>
      </c>
      <c r="C2165" s="2" t="s">
        <v>17</v>
      </c>
      <c r="D2165" s="2" t="s">
        <v>18</v>
      </c>
      <c r="E2165" s="5">
        <v>-30121</v>
      </c>
      <c r="F2165" s="3" t="s">
        <v>851</v>
      </c>
      <c r="G2165" s="3" t="s">
        <v>77</v>
      </c>
      <c r="H2165" s="2" t="s">
        <v>21</v>
      </c>
      <c r="I2165" s="2" t="s">
        <v>5204</v>
      </c>
      <c r="J2165" s="3" t="str">
        <f>HYPERLINK("https://www.boe.es/gazeta/dias/1817/07/12/pdfs/GMD-1817-83.pdf#page=8","Abrir facsímil")</f>
        <v>Abrir facsímil</v>
      </c>
      <c r="K2165" s="3" t="s">
        <v>23</v>
      </c>
    </row>
    <row r="2166" spans="1:11" ht="42" customHeight="1">
      <c r="A2166" s="2" t="s">
        <v>5175</v>
      </c>
      <c r="B2166" s="2" t="s">
        <v>5175</v>
      </c>
      <c r="C2166" s="2" t="s">
        <v>17</v>
      </c>
      <c r="D2166" s="2" t="s">
        <v>18</v>
      </c>
      <c r="E2166" s="5">
        <v>-30111</v>
      </c>
      <c r="F2166" s="3" t="s">
        <v>1017</v>
      </c>
      <c r="G2166" s="3" t="s">
        <v>1018</v>
      </c>
      <c r="H2166" s="2" t="s">
        <v>21</v>
      </c>
      <c r="I2166" s="2" t="s">
        <v>5205</v>
      </c>
      <c r="J2166" s="3" t="str">
        <f>HYPERLINK("https://www.boe.es/gazeta/dias/1817/07/22/pdfs/GMD-1817-87.pdf#page=8","Abrir facsímil")</f>
        <v>Abrir facsímil</v>
      </c>
      <c r="K2166" s="3" t="s">
        <v>23</v>
      </c>
    </row>
    <row r="2167" spans="1:11" ht="42" customHeight="1">
      <c r="A2167" s="2" t="s">
        <v>5175</v>
      </c>
      <c r="B2167" s="2" t="s">
        <v>5175</v>
      </c>
      <c r="C2167" s="2" t="s">
        <v>36</v>
      </c>
      <c r="D2167" s="2" t="s">
        <v>37</v>
      </c>
      <c r="E2167" s="5">
        <v>-30109</v>
      </c>
      <c r="F2167" s="3" t="s">
        <v>205</v>
      </c>
      <c r="G2167" s="3" t="s">
        <v>206</v>
      </c>
      <c r="H2167" s="2" t="s">
        <v>21</v>
      </c>
      <c r="I2167" s="2" t="s">
        <v>5206</v>
      </c>
      <c r="J2167" s="3" t="str">
        <f>HYPERLINK("https://www.boe.es/gazeta/dias/1817/07/24/pdfs/GMD-1817-88.pdf#page=16","Abrir facsímil")</f>
        <v>Abrir facsímil</v>
      </c>
      <c r="K2167" s="3" t="s">
        <v>23</v>
      </c>
    </row>
    <row r="2168" spans="1:11" ht="42" customHeight="1">
      <c r="A2168" s="2" t="s">
        <v>5175</v>
      </c>
      <c r="B2168" s="2" t="s">
        <v>5175</v>
      </c>
      <c r="C2168" s="2" t="s">
        <v>17</v>
      </c>
      <c r="D2168" s="2" t="s">
        <v>18</v>
      </c>
      <c r="E2168" s="5">
        <v>-30100</v>
      </c>
      <c r="F2168" s="3" t="s">
        <v>436</v>
      </c>
      <c r="G2168" s="3" t="s">
        <v>77</v>
      </c>
      <c r="H2168" s="2" t="s">
        <v>21</v>
      </c>
      <c r="I2168" s="2" t="s">
        <v>5207</v>
      </c>
      <c r="J2168" s="3" t="str">
        <f>HYPERLINK("https://www.boe.es/gazeta/dias/1817/08/02/pdfs/GMD-1817-92.pdf#page=8","Abrir facsímil")</f>
        <v>Abrir facsímil</v>
      </c>
      <c r="K2168" s="3" t="s">
        <v>23</v>
      </c>
    </row>
    <row r="2169" spans="1:11" ht="42" customHeight="1">
      <c r="A2169" s="2" t="s">
        <v>5175</v>
      </c>
      <c r="B2169" s="2" t="s">
        <v>5175</v>
      </c>
      <c r="C2169" s="2" t="s">
        <v>36</v>
      </c>
      <c r="D2169" s="2" t="s">
        <v>37</v>
      </c>
      <c r="E2169" s="5">
        <v>-30076</v>
      </c>
      <c r="F2169" s="3" t="s">
        <v>439</v>
      </c>
      <c r="G2169" s="3" t="s">
        <v>20</v>
      </c>
      <c r="H2169" s="2" t="s">
        <v>21</v>
      </c>
      <c r="I2169" s="2" t="s">
        <v>5208</v>
      </c>
      <c r="J2169" s="3" t="str">
        <f>HYPERLINK("https://www.boe.es/gazeta/dias/1817/08/26/pdfs/GMD-1817-102.pdf#page=7","Abrir facsímil")</f>
        <v>Abrir facsímil</v>
      </c>
      <c r="K2169" s="3" t="s">
        <v>23</v>
      </c>
    </row>
    <row r="2170" spans="1:11" ht="42" customHeight="1">
      <c r="A2170" s="2" t="s">
        <v>5175</v>
      </c>
      <c r="B2170" s="2" t="s">
        <v>5175</v>
      </c>
      <c r="C2170" s="2" t="s">
        <v>17</v>
      </c>
      <c r="D2170" s="2" t="s">
        <v>18</v>
      </c>
      <c r="E2170" s="5">
        <v>-30065</v>
      </c>
      <c r="F2170" s="3" t="s">
        <v>201</v>
      </c>
      <c r="G2170" s="3" t="s">
        <v>77</v>
      </c>
      <c r="H2170" s="2" t="s">
        <v>21</v>
      </c>
      <c r="I2170" s="2" t="s">
        <v>5209</v>
      </c>
      <c r="J2170" s="3" t="str">
        <f>HYPERLINK("https://www.boe.es/gazeta/dias/1817/09/06/pdfs/GMD-1817-107.pdf#page=8","Abrir facsímil")</f>
        <v>Abrir facsímil</v>
      </c>
      <c r="K2170" s="3" t="s">
        <v>23</v>
      </c>
    </row>
    <row r="2171" spans="1:11" ht="42" customHeight="1">
      <c r="A2171" s="2" t="s">
        <v>5175</v>
      </c>
      <c r="B2171" s="2" t="s">
        <v>5175</v>
      </c>
      <c r="C2171" s="2" t="s">
        <v>17</v>
      </c>
      <c r="D2171" s="2" t="s">
        <v>18</v>
      </c>
      <c r="E2171" s="5">
        <v>-30062</v>
      </c>
      <c r="F2171" s="3" t="s">
        <v>444</v>
      </c>
      <c r="G2171" s="3" t="s">
        <v>82</v>
      </c>
      <c r="H2171" s="2" t="s">
        <v>21</v>
      </c>
      <c r="I2171" s="2" t="s">
        <v>5210</v>
      </c>
      <c r="J2171" s="3" t="str">
        <f>HYPERLINK("https://www.boe.es/gazeta/dias/1817/09/09/pdfs/GMD-1817-108.pdf#page=12","Abrir facsímil")</f>
        <v>Abrir facsímil</v>
      </c>
      <c r="K2171" s="3" t="s">
        <v>23</v>
      </c>
    </row>
    <row r="2172" spans="1:11" ht="42" customHeight="1">
      <c r="A2172" s="2" t="s">
        <v>5175</v>
      </c>
      <c r="B2172" s="2" t="s">
        <v>5175</v>
      </c>
      <c r="C2172" s="2" t="s">
        <v>17</v>
      </c>
      <c r="D2172" s="2" t="s">
        <v>18</v>
      </c>
      <c r="E2172" s="5">
        <v>-30055</v>
      </c>
      <c r="F2172" s="3" t="s">
        <v>71</v>
      </c>
      <c r="G2172" s="3" t="s">
        <v>82</v>
      </c>
      <c r="H2172" s="2" t="s">
        <v>21</v>
      </c>
      <c r="I2172" s="2" t="s">
        <v>5211</v>
      </c>
      <c r="J2172" s="3" t="str">
        <f>HYPERLINK("https://www.boe.es/gazeta/dias/1817/09/16/pdfs/GMD-1817-111.pdf#page=12","Abrir facsímil")</f>
        <v>Abrir facsímil</v>
      </c>
      <c r="K2172" s="3" t="s">
        <v>23</v>
      </c>
    </row>
    <row r="2173" spans="1:11" ht="42" customHeight="1">
      <c r="A2173" s="2" t="s">
        <v>5175</v>
      </c>
      <c r="B2173" s="2" t="s">
        <v>5175</v>
      </c>
      <c r="C2173" s="2" t="s">
        <v>17</v>
      </c>
      <c r="D2173" s="2" t="s">
        <v>18</v>
      </c>
      <c r="E2173" s="5">
        <v>-30027</v>
      </c>
      <c r="F2173" s="3" t="s">
        <v>173</v>
      </c>
      <c r="G2173" s="3" t="s">
        <v>20</v>
      </c>
      <c r="H2173" s="2" t="s">
        <v>21</v>
      </c>
      <c r="I2173" s="2" t="s">
        <v>5212</v>
      </c>
      <c r="J2173" s="3" t="str">
        <f>HYPERLINK("https://www.boe.es/gazeta/dias/1817/10/14/pdfs/GMD-1817-123.pdf#page=7","Abrir facsímil")</f>
        <v>Abrir facsímil</v>
      </c>
      <c r="K2173" s="3" t="s">
        <v>23</v>
      </c>
    </row>
    <row r="2174" spans="1:11" ht="42" customHeight="1">
      <c r="A2174" s="2" t="s">
        <v>5175</v>
      </c>
      <c r="B2174" s="2" t="s">
        <v>5175</v>
      </c>
      <c r="C2174" s="2" t="s">
        <v>36</v>
      </c>
      <c r="D2174" s="2" t="s">
        <v>37</v>
      </c>
      <c r="E2174" s="5">
        <v>-29974</v>
      </c>
      <c r="F2174" s="3" t="s">
        <v>32</v>
      </c>
      <c r="G2174" s="3" t="s">
        <v>57</v>
      </c>
      <c r="H2174" s="2" t="s">
        <v>21</v>
      </c>
      <c r="I2174" s="2" t="s">
        <v>5213</v>
      </c>
      <c r="J2174" s="3" t="str">
        <f>HYPERLINK("https://www.boe.es/gazeta/dias/1817/12/06/pdfs/GMD-1817-146.pdf#page=6","Abrir facsímil")</f>
        <v>Abrir facsímil</v>
      </c>
      <c r="K2174" s="3" t="s">
        <v>23</v>
      </c>
    </row>
    <row r="2175" spans="1:11" ht="42" customHeight="1">
      <c r="A2175" s="2" t="s">
        <v>5214</v>
      </c>
      <c r="B2175" s="2" t="s">
        <v>5215</v>
      </c>
      <c r="C2175" s="2" t="s">
        <v>36</v>
      </c>
      <c r="D2175" s="2" t="s">
        <v>37</v>
      </c>
      <c r="E2175" s="5">
        <v>-29981</v>
      </c>
      <c r="F2175" s="3" t="s">
        <v>111</v>
      </c>
      <c r="G2175" s="3" t="s">
        <v>112</v>
      </c>
      <c r="H2175" s="2" t="s">
        <v>21</v>
      </c>
      <c r="I2175" s="2" t="s">
        <v>5216</v>
      </c>
      <c r="J2175" s="3" t="str">
        <f>HYPERLINK("https://www.boe.es/gazeta/dias/1817/11/29/pdfs/GMD-1817-143.pdf#page=11","Abrir facsímil")</f>
        <v>Abrir facsímil</v>
      </c>
      <c r="K2175" s="3" t="s">
        <v>23</v>
      </c>
    </row>
    <row r="2176" spans="1:11" ht="42" customHeight="1">
      <c r="A2176" s="2" t="s">
        <v>5217</v>
      </c>
      <c r="B2176" s="2" t="s">
        <v>5218</v>
      </c>
      <c r="C2176" s="2" t="s">
        <v>36</v>
      </c>
      <c r="D2176" s="2" t="s">
        <v>37</v>
      </c>
      <c r="E2176" s="5">
        <v>-30109</v>
      </c>
      <c r="F2176" s="3" t="s">
        <v>205</v>
      </c>
      <c r="G2176" s="3" t="s">
        <v>282</v>
      </c>
      <c r="H2176" s="2" t="s">
        <v>21</v>
      </c>
      <c r="I2176" s="2" t="s">
        <v>5219</v>
      </c>
      <c r="J2176" s="3" t="str">
        <f>HYPERLINK("https://www.boe.es/gazeta/dias/1817/07/24/pdfs/GMD-1817-88.pdf#page=15","Abrir facsímil")</f>
        <v>Abrir facsímil</v>
      </c>
      <c r="K2176" s="3" t="s">
        <v>23</v>
      </c>
    </row>
    <row r="2177" spans="1:11" ht="42" customHeight="1">
      <c r="A2177" s="2" t="s">
        <v>5220</v>
      </c>
      <c r="B2177" s="2" t="s">
        <v>5221</v>
      </c>
      <c r="C2177" s="2" t="s">
        <v>36</v>
      </c>
      <c r="D2177" s="2" t="s">
        <v>37</v>
      </c>
      <c r="E2177" s="5">
        <v>-30083</v>
      </c>
      <c r="F2177" s="3" t="s">
        <v>1273</v>
      </c>
      <c r="G2177" s="3" t="s">
        <v>20</v>
      </c>
      <c r="H2177" s="2" t="s">
        <v>21</v>
      </c>
      <c r="I2177" s="2" t="s">
        <v>5222</v>
      </c>
      <c r="J2177" s="3" t="str">
        <f>HYPERLINK("https://www.boe.es/gazeta/dias/1817/08/19/pdfs/GMD-1817-99.pdf#page=7","Abrir facsímil")</f>
        <v>Abrir facsímil</v>
      </c>
      <c r="K2177" s="3" t="s">
        <v>23</v>
      </c>
    </row>
    <row r="2178" spans="1:11" ht="42" customHeight="1">
      <c r="A2178" s="2" t="s">
        <v>5223</v>
      </c>
      <c r="B2178" s="2" t="s">
        <v>5224</v>
      </c>
      <c r="C2178" s="2" t="s">
        <v>55</v>
      </c>
      <c r="D2178" s="2" t="s">
        <v>44</v>
      </c>
      <c r="E2178" s="5">
        <v>-29950</v>
      </c>
      <c r="F2178" s="3" t="s">
        <v>185</v>
      </c>
      <c r="G2178" s="3" t="s">
        <v>39</v>
      </c>
      <c r="H2178" s="2" t="s">
        <v>21</v>
      </c>
      <c r="I2178" s="2" t="s">
        <v>5225</v>
      </c>
      <c r="J2178" s="3" t="str">
        <f>HYPERLINK("https://www.boe.es/gazeta/dias/1817/12/30/pdfs/GMD-1817-156.pdf#page=5","Abrir facsímil")</f>
        <v>Abrir facsímil</v>
      </c>
      <c r="K2178" s="3" t="s">
        <v>23</v>
      </c>
    </row>
    <row r="2179" spans="1:11" ht="42" customHeight="1">
      <c r="A2179" s="2" t="s">
        <v>5226</v>
      </c>
      <c r="B2179" s="2" t="s">
        <v>5227</v>
      </c>
      <c r="C2179" s="2" t="s">
        <v>36</v>
      </c>
      <c r="D2179" s="2" t="s">
        <v>37</v>
      </c>
      <c r="E2179" s="5">
        <v>-30167</v>
      </c>
      <c r="F2179" s="3" t="s">
        <v>153</v>
      </c>
      <c r="G2179" s="3" t="s">
        <v>20</v>
      </c>
      <c r="H2179" s="2" t="s">
        <v>21</v>
      </c>
      <c r="I2179" s="2" t="s">
        <v>5228</v>
      </c>
      <c r="J2179" s="3" t="str">
        <f>HYPERLINK("https://www.boe.es/gazeta/dias/1817/05/27/pdfs/GMD-1817-63.pdf#page=7","Abrir facsímil")</f>
        <v>Abrir facsímil</v>
      </c>
      <c r="K2179" s="3" t="s">
        <v>23</v>
      </c>
    </row>
    <row r="2180" spans="1:11" ht="42" customHeight="1">
      <c r="A2180" s="2" t="s">
        <v>5229</v>
      </c>
      <c r="B2180" s="2" t="s">
        <v>5229</v>
      </c>
      <c r="C2180" s="2" t="s">
        <v>510</v>
      </c>
      <c r="D2180" s="2" t="s">
        <v>44</v>
      </c>
      <c r="E2180" s="5">
        <v>-29953</v>
      </c>
      <c r="F2180" s="3" t="s">
        <v>793</v>
      </c>
      <c r="G2180" s="3" t="s">
        <v>57</v>
      </c>
      <c r="H2180" s="2" t="s">
        <v>21</v>
      </c>
      <c r="I2180" s="2" t="s">
        <v>5230</v>
      </c>
      <c r="J2180" s="3" t="str">
        <f>HYPERLINK("https://www.boe.es/gazeta/dias/1817/12/27/pdfs/GMD-1817-155.pdf#page=6","Abrir facsímil")</f>
        <v>Abrir facsímil</v>
      </c>
      <c r="K2180" s="3" t="s">
        <v>23</v>
      </c>
    </row>
    <row r="2181" spans="1:11" ht="42" customHeight="1">
      <c r="A2181" s="2" t="s">
        <v>5231</v>
      </c>
      <c r="B2181" s="2" t="s">
        <v>5232</v>
      </c>
      <c r="C2181" s="2" t="s">
        <v>17</v>
      </c>
      <c r="D2181" s="2" t="s">
        <v>18</v>
      </c>
      <c r="E2181" s="5">
        <v>-30151</v>
      </c>
      <c r="F2181" s="3" t="s">
        <v>1422</v>
      </c>
      <c r="G2181" s="3" t="s">
        <v>20</v>
      </c>
      <c r="H2181" s="2" t="s">
        <v>21</v>
      </c>
      <c r="I2181" s="2" t="s">
        <v>5233</v>
      </c>
      <c r="J2181" s="3" t="str">
        <f>HYPERLINK("https://www.boe.es/gazeta/dias/1817/06/12/pdfs/GMD-1817-70.pdf#page=7","Abrir facsímil")</f>
        <v>Abrir facsímil</v>
      </c>
      <c r="K2181" s="3" t="s">
        <v>23</v>
      </c>
    </row>
    <row r="2182" spans="1:11" ht="42" customHeight="1">
      <c r="A2182" s="2" t="s">
        <v>5234</v>
      </c>
      <c r="B2182" s="2" t="s">
        <v>5235</v>
      </c>
      <c r="C2182" s="2" t="s">
        <v>43</v>
      </c>
      <c r="D2182" s="2" t="s">
        <v>44</v>
      </c>
      <c r="E2182" s="5">
        <v>-30244</v>
      </c>
      <c r="F2182" s="3" t="s">
        <v>1482</v>
      </c>
      <c r="G2182" s="3" t="s">
        <v>1483</v>
      </c>
      <c r="H2182" s="2" t="s">
        <v>27</v>
      </c>
      <c r="I2182" s="2" t="s">
        <v>5236</v>
      </c>
      <c r="J2182" s="3" t="str">
        <f>HYPERLINK("https://www.boe.es/gazeta/dias/1817/03/11/pdfs/GMD-1817-30.pdf#page=7","Abrir facsímil")</f>
        <v>Abrir facsímil</v>
      </c>
      <c r="K2182" s="3" t="s">
        <v>29</v>
      </c>
    </row>
    <row r="2183" spans="1:11" ht="42" customHeight="1">
      <c r="A2183" s="2" t="s">
        <v>5237</v>
      </c>
      <c r="B2183" s="2" t="s">
        <v>5237</v>
      </c>
      <c r="C2183" s="2" t="s">
        <v>36</v>
      </c>
      <c r="D2183" s="2" t="s">
        <v>37</v>
      </c>
      <c r="E2183" s="5">
        <v>-29992</v>
      </c>
      <c r="F2183" s="3" t="s">
        <v>50</v>
      </c>
      <c r="G2183" s="3" t="s">
        <v>72</v>
      </c>
      <c r="H2183" s="2" t="s">
        <v>21</v>
      </c>
      <c r="I2183" s="2" t="s">
        <v>5238</v>
      </c>
      <c r="J2183" s="3" t="str">
        <f>HYPERLINK("https://www.boe.es/gazeta/dias/1817/11/18/pdfs/GMD-1817-138.pdf#page=1","Abrir facsímil")</f>
        <v>Abrir facsímil</v>
      </c>
      <c r="K2183" s="3" t="s">
        <v>23</v>
      </c>
    </row>
    <row r="2184" spans="1:11" ht="42" customHeight="1">
      <c r="A2184" s="2" t="s">
        <v>5239</v>
      </c>
      <c r="B2184" s="2" t="s">
        <v>5239</v>
      </c>
      <c r="C2184" s="2" t="s">
        <v>55</v>
      </c>
      <c r="D2184" s="2" t="s">
        <v>44</v>
      </c>
      <c r="E2184" s="5">
        <v>-30146</v>
      </c>
      <c r="F2184" s="3" t="s">
        <v>1005</v>
      </c>
      <c r="G2184" s="3" t="s">
        <v>629</v>
      </c>
      <c r="H2184" s="2" t="s">
        <v>21</v>
      </c>
      <c r="I2184" s="2" t="s">
        <v>5240</v>
      </c>
      <c r="J2184" s="3" t="str">
        <f>HYPERLINK("https://www.boe.es/gazeta/dias/1817/06/17/pdfs/GMD-1817-72.pdf#page=2","Abrir facsímil")</f>
        <v>Abrir facsímil</v>
      </c>
      <c r="K2184" s="3" t="s">
        <v>23</v>
      </c>
    </row>
    <row r="2185" spans="1:11" ht="42" customHeight="1">
      <c r="A2185" s="2" t="s">
        <v>5241</v>
      </c>
      <c r="B2185" s="2" t="s">
        <v>5242</v>
      </c>
      <c r="C2185" s="2" t="s">
        <v>36</v>
      </c>
      <c r="D2185" s="2" t="s">
        <v>37</v>
      </c>
      <c r="E2185" s="5">
        <v>-30293</v>
      </c>
      <c r="F2185" s="3" t="s">
        <v>143</v>
      </c>
      <c r="G2185" s="3" t="s">
        <v>1666</v>
      </c>
      <c r="H2185" s="2" t="s">
        <v>27</v>
      </c>
      <c r="I2185" s="2" t="s">
        <v>5243</v>
      </c>
      <c r="J2185" s="3" t="str">
        <f>HYPERLINK("https://www.boe.es/gazeta/dias/1817/01/21/pdfs/GMD-1817-9.pdf#page=6","Abrir facsímil")</f>
        <v>Abrir facsímil</v>
      </c>
      <c r="K2185" s="3" t="s">
        <v>29</v>
      </c>
    </row>
    <row r="2186" spans="1:11" ht="42" customHeight="1">
      <c r="A2186" s="2" t="s">
        <v>5244</v>
      </c>
      <c r="B2186" s="2" t="s">
        <v>5245</v>
      </c>
      <c r="C2186" s="2" t="s">
        <v>36</v>
      </c>
      <c r="D2186" s="2" t="s">
        <v>37</v>
      </c>
      <c r="E2186" s="5">
        <v>-30153</v>
      </c>
      <c r="F2186" s="3" t="s">
        <v>843</v>
      </c>
      <c r="G2186" s="3" t="s">
        <v>39</v>
      </c>
      <c r="H2186" s="2" t="s">
        <v>21</v>
      </c>
      <c r="I2186" s="2" t="s">
        <v>5246</v>
      </c>
      <c r="J2186" s="3" t="str">
        <f>HYPERLINK("https://www.boe.es/gazeta/dias/1817/06/10/pdfs/GMD-1817-69.pdf#page=5","Abrir facsímil")</f>
        <v>Abrir facsímil</v>
      </c>
      <c r="K2186" s="3" t="s">
        <v>23</v>
      </c>
    </row>
    <row r="2187" spans="1:11" ht="42" customHeight="1">
      <c r="A2187" s="2" t="s">
        <v>5247</v>
      </c>
      <c r="B2187" s="2" t="s">
        <v>5248</v>
      </c>
      <c r="C2187" s="2" t="s">
        <v>36</v>
      </c>
      <c r="D2187" s="2" t="s">
        <v>37</v>
      </c>
      <c r="E2187" s="5">
        <v>-30298</v>
      </c>
      <c r="F2187" s="3" t="s">
        <v>489</v>
      </c>
      <c r="G2187" s="3" t="s">
        <v>144</v>
      </c>
      <c r="H2187" s="2" t="s">
        <v>21</v>
      </c>
      <c r="I2187" s="2" t="s">
        <v>5249</v>
      </c>
      <c r="J2187" s="3" t="str">
        <f>HYPERLINK("https://www.boe.es/gazeta/dias/1817/01/16/pdfs/GMD-1817-7.pdf#page=4","Abrir facsímil")</f>
        <v>Abrir facsímil</v>
      </c>
      <c r="K2187" s="3" t="s">
        <v>23</v>
      </c>
    </row>
    <row r="2188" spans="1:11" ht="42" customHeight="1">
      <c r="A2188" s="2" t="s">
        <v>5250</v>
      </c>
      <c r="B2188" s="2" t="s">
        <v>5251</v>
      </c>
      <c r="C2188" s="2" t="s">
        <v>36</v>
      </c>
      <c r="D2188" s="2" t="s">
        <v>37</v>
      </c>
      <c r="E2188" s="5">
        <v>-29969</v>
      </c>
      <c r="F2188" s="3" t="s">
        <v>252</v>
      </c>
      <c r="G2188" s="3" t="s">
        <v>77</v>
      </c>
      <c r="H2188" s="2" t="s">
        <v>21</v>
      </c>
      <c r="I2188" s="2" t="s">
        <v>5252</v>
      </c>
      <c r="J2188" s="3" t="str">
        <f>HYPERLINK("https://www.boe.es/gazeta/dias/1817/12/11/pdfs/GMD-1817-148.pdf#page=8","Abrir facsímil")</f>
        <v>Abrir facsímil</v>
      </c>
      <c r="K2188" s="3" t="s">
        <v>23</v>
      </c>
    </row>
    <row r="2189" spans="1:11" ht="42" customHeight="1">
      <c r="A2189" s="2" t="s">
        <v>5250</v>
      </c>
      <c r="B2189" s="2" t="s">
        <v>5251</v>
      </c>
      <c r="C2189" s="2" t="s">
        <v>36</v>
      </c>
      <c r="D2189" s="2" t="s">
        <v>37</v>
      </c>
      <c r="E2189" s="5">
        <v>-29969</v>
      </c>
      <c r="F2189" s="3" t="s">
        <v>252</v>
      </c>
      <c r="G2189" s="3" t="s">
        <v>887</v>
      </c>
      <c r="H2189" s="2" t="s">
        <v>21</v>
      </c>
      <c r="I2189" s="2" t="s">
        <v>5253</v>
      </c>
      <c r="J2189" s="3" t="str">
        <f>HYPERLINK("https://www.boe.es/gazeta/dias/1817/12/11/pdfs/GMD-1817-148.pdf#page=9","Abrir facsímil")</f>
        <v>Abrir facsímil</v>
      </c>
      <c r="K2189" s="3" t="s">
        <v>23</v>
      </c>
    </row>
    <row r="2190" spans="1:11" ht="42" customHeight="1">
      <c r="A2190" s="2" t="s">
        <v>5250</v>
      </c>
      <c r="B2190" s="2" t="s">
        <v>5251</v>
      </c>
      <c r="C2190" s="2" t="s">
        <v>36</v>
      </c>
      <c r="D2190" s="2" t="s">
        <v>37</v>
      </c>
      <c r="E2190" s="5">
        <v>-29950</v>
      </c>
      <c r="F2190" s="3" t="s">
        <v>185</v>
      </c>
      <c r="G2190" s="3" t="s">
        <v>891</v>
      </c>
      <c r="H2190" s="2" t="s">
        <v>21</v>
      </c>
      <c r="I2190" s="2" t="s">
        <v>5254</v>
      </c>
      <c r="J2190" s="3" t="str">
        <f>HYPERLINK("https://www.boe.es/gazeta/dias/1817/12/30/pdfs/GMD-1817-156.pdf#page=8","Abrir facsímil")</f>
        <v>Abrir facsímil</v>
      </c>
      <c r="K2190" s="3" t="s">
        <v>23</v>
      </c>
    </row>
    <row r="2191" spans="1:11" ht="42" customHeight="1">
      <c r="A2191" s="2" t="s">
        <v>5255</v>
      </c>
      <c r="B2191" s="2" t="s">
        <v>5256</v>
      </c>
      <c r="C2191" s="2" t="s">
        <v>36</v>
      </c>
      <c r="D2191" s="2" t="s">
        <v>37</v>
      </c>
      <c r="E2191" s="5">
        <v>-30156</v>
      </c>
      <c r="F2191" s="3" t="s">
        <v>635</v>
      </c>
      <c r="G2191" s="3" t="s">
        <v>2844</v>
      </c>
      <c r="H2191" s="2" t="s">
        <v>21</v>
      </c>
      <c r="I2191" s="2" t="s">
        <v>5257</v>
      </c>
      <c r="J2191" s="3" t="str">
        <f>HYPERLINK("https://www.boe.es/gazeta/dias/1817/06/07/pdfs/GMD-1817-68.pdf#page=7","Abrir facsímil")</f>
        <v>Abrir facsímil</v>
      </c>
      <c r="K2191" s="3" t="s">
        <v>23</v>
      </c>
    </row>
    <row r="2192" spans="1:11" ht="42" customHeight="1">
      <c r="A2192" s="2" t="s">
        <v>5255</v>
      </c>
      <c r="B2192" s="2" t="s">
        <v>5256</v>
      </c>
      <c r="C2192" s="2" t="s">
        <v>36</v>
      </c>
      <c r="D2192" s="2" t="s">
        <v>37</v>
      </c>
      <c r="E2192" s="5">
        <v>-30156</v>
      </c>
      <c r="F2192" s="3" t="s">
        <v>635</v>
      </c>
      <c r="G2192" s="3" t="s">
        <v>39</v>
      </c>
      <c r="H2192" s="2" t="s">
        <v>21</v>
      </c>
      <c r="I2192" s="2" t="s">
        <v>5258</v>
      </c>
      <c r="J2192" s="3" t="str">
        <f>HYPERLINK("https://www.boe.es/gazeta/dias/1817/06/07/pdfs/GMD-1817-68.pdf#page=5","Abrir facsímil")</f>
        <v>Abrir facsímil</v>
      </c>
      <c r="K2192" s="3" t="s">
        <v>23</v>
      </c>
    </row>
    <row r="2193" spans="1:11" ht="42" customHeight="1">
      <c r="A2193" s="2" t="s">
        <v>5259</v>
      </c>
      <c r="B2193" s="2" t="s">
        <v>5260</v>
      </c>
      <c r="C2193" s="2" t="s">
        <v>36</v>
      </c>
      <c r="D2193" s="2" t="s">
        <v>37</v>
      </c>
      <c r="E2193" s="5">
        <v>-30272</v>
      </c>
      <c r="F2193" s="3" t="s">
        <v>493</v>
      </c>
      <c r="G2193" s="3" t="s">
        <v>39</v>
      </c>
      <c r="H2193" s="2" t="s">
        <v>21</v>
      </c>
      <c r="I2193" s="2" t="s">
        <v>5261</v>
      </c>
      <c r="J2193" s="3" t="str">
        <f>HYPERLINK("https://www.boe.es/gazeta/dias/1817/02/11/pdfs/GMD-1817-18.pdf#page=5","Abrir facsímil")</f>
        <v>Abrir facsímil</v>
      </c>
      <c r="K2193" s="3" t="s">
        <v>23</v>
      </c>
    </row>
    <row r="2194" spans="1:11" ht="42" customHeight="1">
      <c r="A2194" s="2" t="s">
        <v>5262</v>
      </c>
      <c r="B2194" s="2" t="s">
        <v>5263</v>
      </c>
      <c r="C2194" s="2" t="s">
        <v>43</v>
      </c>
      <c r="D2194" s="2" t="s">
        <v>44</v>
      </c>
      <c r="E2194" s="5">
        <v>-30151</v>
      </c>
      <c r="F2194" s="3" t="s">
        <v>1422</v>
      </c>
      <c r="G2194" s="3" t="s">
        <v>39</v>
      </c>
      <c r="H2194" s="2" t="s">
        <v>21</v>
      </c>
      <c r="I2194" s="2" t="s">
        <v>5264</v>
      </c>
      <c r="J2194" s="3" t="str">
        <f>HYPERLINK("https://www.boe.es/gazeta/dias/1817/06/12/pdfs/GMD-1817-70.pdf#page=5","Abrir facsímil")</f>
        <v>Abrir facsímil</v>
      </c>
      <c r="K2194" s="3" t="s">
        <v>23</v>
      </c>
    </row>
    <row r="2195" spans="1:11" ht="42" customHeight="1">
      <c r="A2195" s="2" t="s">
        <v>5265</v>
      </c>
      <c r="B2195" s="2" t="s">
        <v>5265</v>
      </c>
      <c r="C2195" s="2" t="s">
        <v>138</v>
      </c>
      <c r="D2195" s="2" t="s">
        <v>44</v>
      </c>
      <c r="E2195" s="5">
        <v>-30142</v>
      </c>
      <c r="F2195" s="3" t="s">
        <v>286</v>
      </c>
      <c r="G2195" s="3" t="s">
        <v>72</v>
      </c>
      <c r="H2195" s="2" t="s">
        <v>21</v>
      </c>
      <c r="I2195" s="2" t="s">
        <v>5266</v>
      </c>
      <c r="J2195" s="3" t="str">
        <f>HYPERLINK("https://www.boe.es/gazeta/dias/1817/06/21/pdfs/GMD-1817-74.pdf#page=1","Abrir facsímil")</f>
        <v>Abrir facsímil</v>
      </c>
      <c r="K2195" s="3" t="s">
        <v>23</v>
      </c>
    </row>
    <row r="2196" spans="1:11" ht="42" customHeight="1">
      <c r="A2196" s="2" t="s">
        <v>5267</v>
      </c>
      <c r="B2196" s="2" t="s">
        <v>5268</v>
      </c>
      <c r="C2196" s="2" t="s">
        <v>97</v>
      </c>
      <c r="D2196" s="2" t="s">
        <v>44</v>
      </c>
      <c r="E2196" s="5">
        <v>-29999</v>
      </c>
      <c r="F2196" s="3" t="s">
        <v>471</v>
      </c>
      <c r="G2196" s="3" t="s">
        <v>472</v>
      </c>
      <c r="H2196" s="2" t="s">
        <v>21</v>
      </c>
      <c r="I2196" s="2" t="s">
        <v>5269</v>
      </c>
      <c r="J2196" s="3" t="str">
        <f>HYPERLINK("https://www.boe.es/gazeta/dias/1817/11/11/pdfs/GMD-1817-135.pdf#page=16","Abrir facsímil")</f>
        <v>Abrir facsímil</v>
      </c>
      <c r="K2196" s="3" t="s">
        <v>23</v>
      </c>
    </row>
    <row r="2197" spans="1:11" ht="42" customHeight="1">
      <c r="A2197" s="2" t="s">
        <v>5270</v>
      </c>
      <c r="B2197" s="2" t="s">
        <v>5271</v>
      </c>
      <c r="C2197" s="2" t="s">
        <v>510</v>
      </c>
      <c r="D2197" s="2" t="s">
        <v>44</v>
      </c>
      <c r="E2197" s="5">
        <v>-30123</v>
      </c>
      <c r="F2197" s="3" t="s">
        <v>848</v>
      </c>
      <c r="G2197" s="3" t="s">
        <v>5272</v>
      </c>
      <c r="H2197" s="2" t="s">
        <v>21</v>
      </c>
      <c r="I2197" s="2" t="s">
        <v>5273</v>
      </c>
      <c r="J2197" s="3" t="str">
        <f>HYPERLINK("https://www.boe.es/gazeta/dias/1817/07/10/pdfs/GMD-1817-82.pdf#page=3","Abrir facsímil")</f>
        <v>Abrir facsímil</v>
      </c>
      <c r="K2197" s="3" t="s">
        <v>23</v>
      </c>
    </row>
    <row r="2198" spans="1:11" ht="42" customHeight="1">
      <c r="A2198" s="2" t="s">
        <v>5274</v>
      </c>
      <c r="B2198" s="2" t="s">
        <v>5274</v>
      </c>
      <c r="C2198" s="2" t="s">
        <v>17</v>
      </c>
      <c r="D2198" s="2" t="s">
        <v>18</v>
      </c>
      <c r="E2198" s="5">
        <v>-30289</v>
      </c>
      <c r="F2198" s="3" t="s">
        <v>193</v>
      </c>
      <c r="G2198" s="3" t="s">
        <v>2449</v>
      </c>
      <c r="H2198" s="2" t="s">
        <v>21</v>
      </c>
      <c r="I2198" s="2" t="s">
        <v>5275</v>
      </c>
      <c r="J2198" s="3" t="str">
        <f>HYPERLINK("https://www.boe.es/gazeta/dias/1817/01/25/pdfs/GMD-1817-11.pdf#page=2","Abrir facsímil")</f>
        <v>Abrir facsímil</v>
      </c>
      <c r="K2198" s="3" t="s">
        <v>23</v>
      </c>
    </row>
    <row r="2199" spans="1:11" ht="42" customHeight="1">
      <c r="A2199" s="2" t="s">
        <v>5274</v>
      </c>
      <c r="B2199" s="2" t="s">
        <v>5274</v>
      </c>
      <c r="C2199" s="2" t="s">
        <v>17</v>
      </c>
      <c r="D2199" s="2" t="s">
        <v>18</v>
      </c>
      <c r="E2199" s="5">
        <v>-30284</v>
      </c>
      <c r="F2199" s="3" t="s">
        <v>741</v>
      </c>
      <c r="G2199" s="3" t="s">
        <v>551</v>
      </c>
      <c r="H2199" s="2" t="s">
        <v>21</v>
      </c>
      <c r="I2199" s="2" t="s">
        <v>5276</v>
      </c>
      <c r="J2199" s="3" t="str">
        <f>HYPERLINK("https://www.boe.es/gazeta/dias/1817/01/30/pdfs/GMD-1817-13.pdf#page=3","Abrir facsímil")</f>
        <v>Abrir facsímil</v>
      </c>
      <c r="K2199" s="3" t="s">
        <v>23</v>
      </c>
    </row>
    <row r="2200" spans="1:11" ht="42" customHeight="1">
      <c r="A2200" s="2" t="s">
        <v>5277</v>
      </c>
      <c r="B2200" s="2" t="s">
        <v>5278</v>
      </c>
      <c r="C2200" s="2" t="s">
        <v>55</v>
      </c>
      <c r="D2200" s="2" t="s">
        <v>44</v>
      </c>
      <c r="E2200" s="5">
        <v>-30114</v>
      </c>
      <c r="F2200" s="3" t="s">
        <v>500</v>
      </c>
      <c r="G2200" s="3" t="s">
        <v>77</v>
      </c>
      <c r="H2200" s="2" t="s">
        <v>21</v>
      </c>
      <c r="I2200" s="2" t="s">
        <v>5279</v>
      </c>
      <c r="J2200" s="3" t="str">
        <f>HYPERLINK("https://www.boe.es/gazeta/dias/1817/07/19/pdfs/GMD-1817-86.pdf#page=8","Abrir facsímil")</f>
        <v>Abrir facsímil</v>
      </c>
      <c r="K2200" s="3" t="s">
        <v>23</v>
      </c>
    </row>
    <row r="2201" spans="1:11" ht="42" customHeight="1">
      <c r="A2201" s="2" t="s">
        <v>5280</v>
      </c>
      <c r="B2201" s="2" t="s">
        <v>5281</v>
      </c>
      <c r="C2201" s="2" t="s">
        <v>36</v>
      </c>
      <c r="D2201" s="2" t="s">
        <v>37</v>
      </c>
      <c r="E2201" s="5">
        <v>-29981</v>
      </c>
      <c r="F2201" s="3" t="s">
        <v>111</v>
      </c>
      <c r="G2201" s="3" t="s">
        <v>20</v>
      </c>
      <c r="H2201" s="2" t="s">
        <v>21</v>
      </c>
      <c r="I2201" s="2" t="s">
        <v>5282</v>
      </c>
      <c r="J2201" s="3" t="str">
        <f>HYPERLINK("https://www.boe.es/gazeta/dias/1817/11/29/pdfs/GMD-1817-143.pdf#page=7","Abrir facsímil")</f>
        <v>Abrir facsímil</v>
      </c>
      <c r="K2201" s="3" t="s">
        <v>23</v>
      </c>
    </row>
    <row r="2202" spans="1:11" ht="42" customHeight="1">
      <c r="A2202" s="2" t="s">
        <v>5283</v>
      </c>
      <c r="B2202" s="2" t="s">
        <v>5283</v>
      </c>
      <c r="C2202" s="2" t="s">
        <v>36</v>
      </c>
      <c r="D2202" s="2" t="s">
        <v>37</v>
      </c>
      <c r="E2202" s="5">
        <v>-30116</v>
      </c>
      <c r="F2202" s="3" t="s">
        <v>319</v>
      </c>
      <c r="G2202" s="3" t="s">
        <v>39</v>
      </c>
      <c r="H2202" s="2" t="s">
        <v>21</v>
      </c>
      <c r="I2202" s="2" t="s">
        <v>5284</v>
      </c>
      <c r="J2202" s="3" t="str">
        <f>HYPERLINK("https://www.boe.es/gazeta/dias/1817/07/17/pdfs/GMD-1817-85.pdf#page=5","Abrir facsímil")</f>
        <v>Abrir facsímil</v>
      </c>
      <c r="K2202" s="3" t="s">
        <v>23</v>
      </c>
    </row>
    <row r="2203" spans="1:11" ht="42" customHeight="1">
      <c r="A2203" s="2" t="s">
        <v>5285</v>
      </c>
      <c r="B2203" s="2" t="s">
        <v>5286</v>
      </c>
      <c r="C2203" s="2" t="s">
        <v>36</v>
      </c>
      <c r="D2203" s="2" t="s">
        <v>37</v>
      </c>
      <c r="E2203" s="5">
        <v>-30289</v>
      </c>
      <c r="F2203" s="3" t="s">
        <v>193</v>
      </c>
      <c r="G2203" s="3" t="s">
        <v>144</v>
      </c>
      <c r="H2203" s="2" t="s">
        <v>21</v>
      </c>
      <c r="I2203" s="2" t="s">
        <v>5287</v>
      </c>
      <c r="J2203" s="3" t="str">
        <f>HYPERLINK("https://www.boe.es/gazeta/dias/1817/01/25/pdfs/GMD-1817-11.pdf#page=4","Abrir facsímil")</f>
        <v>Abrir facsímil</v>
      </c>
      <c r="K2203" s="3" t="s">
        <v>23</v>
      </c>
    </row>
    <row r="2204" spans="1:11" ht="42" customHeight="1">
      <c r="A2204" s="2" t="s">
        <v>5285</v>
      </c>
      <c r="B2204" s="2" t="s">
        <v>5286</v>
      </c>
      <c r="C2204" s="2" t="s">
        <v>36</v>
      </c>
      <c r="D2204" s="2" t="s">
        <v>37</v>
      </c>
      <c r="E2204" s="5">
        <v>-30289</v>
      </c>
      <c r="F2204" s="3" t="s">
        <v>193</v>
      </c>
      <c r="G2204" s="3" t="s">
        <v>39</v>
      </c>
      <c r="H2204" s="2" t="s">
        <v>21</v>
      </c>
      <c r="I2204" s="2" t="s">
        <v>5288</v>
      </c>
      <c r="J2204" s="3" t="str">
        <f>HYPERLINK("https://www.boe.es/gazeta/dias/1817/01/25/pdfs/GMD-1817-11.pdf#page=5","Abrir facsímil")</f>
        <v>Abrir facsímil</v>
      </c>
      <c r="K2204" s="3" t="s">
        <v>23</v>
      </c>
    </row>
    <row r="2205" spans="1:11" ht="42" customHeight="1">
      <c r="A2205" s="2" t="s">
        <v>5289</v>
      </c>
      <c r="B2205" s="2" t="s">
        <v>5290</v>
      </c>
      <c r="C2205" s="2" t="s">
        <v>36</v>
      </c>
      <c r="D2205" s="2" t="s">
        <v>37</v>
      </c>
      <c r="E2205" s="5">
        <v>-30284</v>
      </c>
      <c r="F2205" s="3" t="s">
        <v>741</v>
      </c>
      <c r="G2205" s="3" t="s">
        <v>551</v>
      </c>
      <c r="H2205" s="2" t="s">
        <v>21</v>
      </c>
      <c r="I2205" s="2" t="s">
        <v>5291</v>
      </c>
      <c r="J2205" s="3" t="str">
        <f>HYPERLINK("https://www.boe.es/gazeta/dias/1817/01/30/pdfs/GMD-1817-13.pdf#page=3","Abrir facsímil")</f>
        <v>Abrir facsímil</v>
      </c>
      <c r="K2205" s="3" t="s">
        <v>23</v>
      </c>
    </row>
    <row r="2206" spans="1:11" ht="42" customHeight="1">
      <c r="A2206" s="2" t="s">
        <v>5285</v>
      </c>
      <c r="B2206" s="2" t="s">
        <v>5286</v>
      </c>
      <c r="C2206" s="2" t="s">
        <v>36</v>
      </c>
      <c r="D2206" s="2" t="s">
        <v>37</v>
      </c>
      <c r="E2206" s="5">
        <v>-30118</v>
      </c>
      <c r="F2206" s="3" t="s">
        <v>432</v>
      </c>
      <c r="G2206" s="3" t="s">
        <v>648</v>
      </c>
      <c r="H2206" s="2" t="s">
        <v>21</v>
      </c>
      <c r="I2206" s="2" t="s">
        <v>5292</v>
      </c>
      <c r="J2206" s="3" t="str">
        <f>HYPERLINK("https://www.boe.es/gazeta/dias/1817/07/15/pdfs/GMD-1817-84.pdf#page=4","Abrir facsímil")</f>
        <v>Abrir facsímil</v>
      </c>
      <c r="K2206" s="3" t="s">
        <v>23</v>
      </c>
    </row>
    <row r="2207" spans="1:11" ht="42" customHeight="1">
      <c r="A2207" s="2" t="s">
        <v>5285</v>
      </c>
      <c r="B2207" s="2" t="s">
        <v>5286</v>
      </c>
      <c r="C2207" s="2" t="s">
        <v>36</v>
      </c>
      <c r="D2207" s="2" t="s">
        <v>37</v>
      </c>
      <c r="E2207" s="5">
        <v>-30118</v>
      </c>
      <c r="F2207" s="3" t="s">
        <v>432</v>
      </c>
      <c r="G2207" s="3" t="s">
        <v>39</v>
      </c>
      <c r="H2207" s="2" t="s">
        <v>21</v>
      </c>
      <c r="I2207" s="2" t="s">
        <v>5293</v>
      </c>
      <c r="J2207" s="3" t="str">
        <f>HYPERLINK("https://www.boe.es/gazeta/dias/1817/07/15/pdfs/GMD-1817-84.pdf#page=5","Abrir facsímil")</f>
        <v>Abrir facsímil</v>
      </c>
      <c r="K2207" s="3" t="s">
        <v>23</v>
      </c>
    </row>
    <row r="2208" spans="1:11" ht="42" customHeight="1">
      <c r="A2208" s="2" t="s">
        <v>5285</v>
      </c>
      <c r="B2208" s="2" t="s">
        <v>5286</v>
      </c>
      <c r="C2208" s="2" t="s">
        <v>36</v>
      </c>
      <c r="D2208" s="2" t="s">
        <v>37</v>
      </c>
      <c r="E2208" s="5">
        <v>-30116</v>
      </c>
      <c r="F2208" s="3" t="s">
        <v>319</v>
      </c>
      <c r="G2208" s="3" t="s">
        <v>39</v>
      </c>
      <c r="H2208" s="2" t="s">
        <v>21</v>
      </c>
      <c r="I2208" s="2" t="s">
        <v>5294</v>
      </c>
      <c r="J2208" s="3" t="str">
        <f>HYPERLINK("https://www.boe.es/gazeta/dias/1817/07/17/pdfs/GMD-1817-85.pdf#page=5","Abrir facsímil")</f>
        <v>Abrir facsímil</v>
      </c>
      <c r="K2208" s="3" t="s">
        <v>23</v>
      </c>
    </row>
    <row r="2209" spans="1:11" ht="42" customHeight="1">
      <c r="A2209" s="2" t="s">
        <v>5285</v>
      </c>
      <c r="B2209" s="2" t="s">
        <v>5286</v>
      </c>
      <c r="C2209" s="2" t="s">
        <v>36</v>
      </c>
      <c r="D2209" s="2" t="s">
        <v>37</v>
      </c>
      <c r="E2209" s="5">
        <v>-30090</v>
      </c>
      <c r="F2209" s="3" t="s">
        <v>89</v>
      </c>
      <c r="G2209" s="3" t="s">
        <v>1839</v>
      </c>
      <c r="H2209" s="2" t="s">
        <v>21</v>
      </c>
      <c r="I2209" s="2" t="s">
        <v>5295</v>
      </c>
      <c r="J2209" s="3" t="str">
        <f>HYPERLINK("https://www.boe.es/gazeta/dias/1817/08/12/pdfs/GMD-1817-96.pdf#page=4","Abrir facsímil")</f>
        <v>Abrir facsímil</v>
      </c>
      <c r="K2209" s="3" t="s">
        <v>23</v>
      </c>
    </row>
    <row r="2210" spans="1:11" ht="42" customHeight="1">
      <c r="A2210" s="2" t="s">
        <v>5289</v>
      </c>
      <c r="B2210" s="2" t="s">
        <v>5290</v>
      </c>
      <c r="C2210" s="2" t="s">
        <v>36</v>
      </c>
      <c r="D2210" s="2" t="s">
        <v>37</v>
      </c>
      <c r="E2210" s="5">
        <v>-30090</v>
      </c>
      <c r="F2210" s="3" t="s">
        <v>89</v>
      </c>
      <c r="G2210" s="3" t="s">
        <v>39</v>
      </c>
      <c r="H2210" s="2" t="s">
        <v>21</v>
      </c>
      <c r="I2210" s="2" t="s">
        <v>5296</v>
      </c>
      <c r="J2210" s="3" t="str">
        <f>HYPERLINK("https://www.boe.es/gazeta/dias/1817/08/12/pdfs/GMD-1817-96.pdf#page=5","Abrir facsímil")</f>
        <v>Abrir facsímil</v>
      </c>
      <c r="K2210" s="3" t="s">
        <v>23</v>
      </c>
    </row>
    <row r="2211" spans="1:11" ht="42" customHeight="1">
      <c r="A2211" s="2" t="s">
        <v>5285</v>
      </c>
      <c r="B2211" s="2" t="s">
        <v>5286</v>
      </c>
      <c r="C2211" s="2" t="s">
        <v>43</v>
      </c>
      <c r="D2211" s="2" t="s">
        <v>44</v>
      </c>
      <c r="E2211" s="5">
        <v>-30076</v>
      </c>
      <c r="F2211" s="3" t="s">
        <v>439</v>
      </c>
      <c r="G2211" s="3" t="s">
        <v>551</v>
      </c>
      <c r="H2211" s="2" t="s">
        <v>21</v>
      </c>
      <c r="I2211" s="2" t="s">
        <v>5297</v>
      </c>
      <c r="J2211" s="3" t="str">
        <f>HYPERLINK("https://www.boe.es/gazeta/dias/1817/08/26/pdfs/GMD-1817-102.pdf#page=3","Abrir facsímil")</f>
        <v>Abrir facsímil</v>
      </c>
      <c r="K2211" s="3" t="s">
        <v>23</v>
      </c>
    </row>
    <row r="2212" spans="1:11" ht="42" customHeight="1">
      <c r="A2212" s="2" t="s">
        <v>5285</v>
      </c>
      <c r="B2212" s="2" t="s">
        <v>5286</v>
      </c>
      <c r="C2212" s="2" t="s">
        <v>36</v>
      </c>
      <c r="D2212" s="2" t="s">
        <v>37</v>
      </c>
      <c r="E2212" s="5">
        <v>-30065</v>
      </c>
      <c r="F2212" s="3" t="s">
        <v>201</v>
      </c>
      <c r="G2212" s="3" t="s">
        <v>20</v>
      </c>
      <c r="H2212" s="2" t="s">
        <v>21</v>
      </c>
      <c r="I2212" s="2" t="s">
        <v>5298</v>
      </c>
      <c r="J2212" s="3" t="str">
        <f>HYPERLINK("https://www.boe.es/gazeta/dias/1817/09/06/pdfs/GMD-1817-107.pdf#page=7","Abrir facsímil")</f>
        <v>Abrir facsímil</v>
      </c>
      <c r="K2212" s="3" t="s">
        <v>23</v>
      </c>
    </row>
    <row r="2213" spans="1:11" ht="42" customHeight="1">
      <c r="A2213" s="2" t="s">
        <v>5285</v>
      </c>
      <c r="B2213" s="2" t="s">
        <v>5286</v>
      </c>
      <c r="C2213" s="2" t="s">
        <v>36</v>
      </c>
      <c r="D2213" s="2" t="s">
        <v>37</v>
      </c>
      <c r="E2213" s="5">
        <v>-30006</v>
      </c>
      <c r="F2213" s="3" t="s">
        <v>210</v>
      </c>
      <c r="G2213" s="3" t="s">
        <v>39</v>
      </c>
      <c r="H2213" s="2" t="s">
        <v>21</v>
      </c>
      <c r="I2213" s="2" t="s">
        <v>5299</v>
      </c>
      <c r="J2213" s="3" t="str">
        <f>HYPERLINK("https://www.boe.es/gazeta/dias/1817/11/04/pdfs/GMD-1817-132.pdf#page=5","Abrir facsímil")</f>
        <v>Abrir facsímil</v>
      </c>
      <c r="K2213" s="3" t="s">
        <v>23</v>
      </c>
    </row>
    <row r="2214" spans="1:11" ht="42" customHeight="1">
      <c r="A2214" s="2" t="s">
        <v>5285</v>
      </c>
      <c r="B2214" s="2" t="s">
        <v>5286</v>
      </c>
      <c r="C2214" s="2" t="s">
        <v>36</v>
      </c>
      <c r="D2214" s="2" t="s">
        <v>37</v>
      </c>
      <c r="E2214" s="5">
        <v>-30004</v>
      </c>
      <c r="F2214" s="3" t="s">
        <v>329</v>
      </c>
      <c r="G2214" s="3" t="s">
        <v>551</v>
      </c>
      <c r="H2214" s="2" t="s">
        <v>21</v>
      </c>
      <c r="I2214" s="2" t="s">
        <v>5300</v>
      </c>
      <c r="J2214" s="3" t="str">
        <f>HYPERLINK("https://www.boe.es/gazeta/dias/1817/11/06/pdfs/GMD-1817-133.pdf#page=3","Abrir facsímil")</f>
        <v>Abrir facsímil</v>
      </c>
      <c r="K2214" s="3" t="s">
        <v>23</v>
      </c>
    </row>
    <row r="2215" spans="1:11" ht="42" customHeight="1">
      <c r="A2215" s="2" t="s">
        <v>5285</v>
      </c>
      <c r="B2215" s="2" t="s">
        <v>5286</v>
      </c>
      <c r="C2215" s="2" t="s">
        <v>36</v>
      </c>
      <c r="D2215" s="2" t="s">
        <v>37</v>
      </c>
      <c r="E2215" s="5">
        <v>-29988</v>
      </c>
      <c r="F2215" s="3" t="s">
        <v>569</v>
      </c>
      <c r="G2215" s="3" t="s">
        <v>39</v>
      </c>
      <c r="H2215" s="2" t="s">
        <v>21</v>
      </c>
      <c r="I2215" s="2" t="s">
        <v>5301</v>
      </c>
      <c r="J2215" s="3" t="str">
        <f>HYPERLINK("https://www.boe.es/gazeta/dias/1817/11/22/pdfs/GMD-1817-140.pdf#page=5","Abrir facsímil")</f>
        <v>Abrir facsímil</v>
      </c>
      <c r="K2215" s="3" t="s">
        <v>23</v>
      </c>
    </row>
    <row r="2216" spans="1:11" ht="42" customHeight="1">
      <c r="A2216" s="2" t="s">
        <v>5285</v>
      </c>
      <c r="B2216" s="2" t="s">
        <v>5286</v>
      </c>
      <c r="C2216" s="2" t="s">
        <v>36</v>
      </c>
      <c r="D2216" s="2" t="s">
        <v>37</v>
      </c>
      <c r="E2216" s="5">
        <v>-29985</v>
      </c>
      <c r="F2216" s="3" t="s">
        <v>76</v>
      </c>
      <c r="G2216" s="3" t="s">
        <v>39</v>
      </c>
      <c r="H2216" s="2" t="s">
        <v>21</v>
      </c>
      <c r="I2216" s="2" t="s">
        <v>5302</v>
      </c>
      <c r="J2216" s="3" t="str">
        <f>HYPERLINK("https://www.boe.es/gazeta/dias/1817/11/25/pdfs/GMD-1817-141.pdf#page=5","Abrir facsímil")</f>
        <v>Abrir facsímil</v>
      </c>
      <c r="K2216" s="3" t="s">
        <v>23</v>
      </c>
    </row>
    <row r="2217" spans="1:11" ht="42" customHeight="1">
      <c r="A2217" s="2" t="s">
        <v>5285</v>
      </c>
      <c r="B2217" s="2" t="s">
        <v>5286</v>
      </c>
      <c r="C2217" s="2" t="s">
        <v>36</v>
      </c>
      <c r="D2217" s="2" t="s">
        <v>37</v>
      </c>
      <c r="E2217" s="5">
        <v>-29985</v>
      </c>
      <c r="F2217" s="3" t="s">
        <v>76</v>
      </c>
      <c r="G2217" s="3" t="s">
        <v>57</v>
      </c>
      <c r="H2217" s="2" t="s">
        <v>21</v>
      </c>
      <c r="I2217" s="2" t="s">
        <v>5303</v>
      </c>
      <c r="J2217" s="3" t="str">
        <f>HYPERLINK("https://www.boe.es/gazeta/dias/1817/11/25/pdfs/GMD-1817-141.pdf#page=6","Abrir facsímil")</f>
        <v>Abrir facsímil</v>
      </c>
      <c r="K2217" s="3" t="s">
        <v>23</v>
      </c>
    </row>
    <row r="2218" spans="1:11" ht="42" customHeight="1">
      <c r="A2218" s="2" t="s">
        <v>5285</v>
      </c>
      <c r="B2218" s="2" t="s">
        <v>5286</v>
      </c>
      <c r="C2218" s="2" t="s">
        <v>36</v>
      </c>
      <c r="D2218" s="2" t="s">
        <v>37</v>
      </c>
      <c r="E2218" s="5">
        <v>-29976</v>
      </c>
      <c r="F2218" s="3" t="s">
        <v>81</v>
      </c>
      <c r="G2218" s="3" t="s">
        <v>883</v>
      </c>
      <c r="H2218" s="2" t="s">
        <v>21</v>
      </c>
      <c r="I2218" s="2" t="s">
        <v>5304</v>
      </c>
      <c r="J2218" s="3" t="str">
        <f>HYPERLINK("https://www.boe.es/gazeta/dias/1817/12/04/pdfs/GMD-1817-145.pdf#page=4","Abrir facsímil")</f>
        <v>Abrir facsímil</v>
      </c>
      <c r="K2218" s="3" t="s">
        <v>23</v>
      </c>
    </row>
    <row r="2219" spans="1:11" ht="42" customHeight="1">
      <c r="A2219" s="2" t="s">
        <v>5285</v>
      </c>
      <c r="B2219" s="2" t="s">
        <v>5286</v>
      </c>
      <c r="C2219" s="2" t="s">
        <v>36</v>
      </c>
      <c r="D2219" s="2" t="s">
        <v>37</v>
      </c>
      <c r="E2219" s="5">
        <v>-29976</v>
      </c>
      <c r="F2219" s="3" t="s">
        <v>81</v>
      </c>
      <c r="G2219" s="3" t="s">
        <v>749</v>
      </c>
      <c r="H2219" s="2" t="s">
        <v>21</v>
      </c>
      <c r="I2219" s="2" t="s">
        <v>5305</v>
      </c>
      <c r="J2219" s="3" t="str">
        <f>HYPERLINK("https://www.boe.es/gazeta/dias/1817/12/04/pdfs/GMD-1817-145.pdf#page=5","Abrir facsímil")</f>
        <v>Abrir facsímil</v>
      </c>
      <c r="K2219" s="3" t="s">
        <v>23</v>
      </c>
    </row>
    <row r="2220" spans="1:11" ht="42" customHeight="1">
      <c r="A2220" s="2" t="s">
        <v>5306</v>
      </c>
      <c r="B2220" s="2" t="s">
        <v>5307</v>
      </c>
      <c r="C2220" s="2" t="s">
        <v>36</v>
      </c>
      <c r="D2220" s="2" t="s">
        <v>37</v>
      </c>
      <c r="E2220" s="5">
        <v>-30081</v>
      </c>
      <c r="F2220" s="3" t="s">
        <v>133</v>
      </c>
      <c r="G2220" s="3" t="s">
        <v>20</v>
      </c>
      <c r="H2220" s="2" t="s">
        <v>21</v>
      </c>
      <c r="I2220" s="2" t="s">
        <v>5308</v>
      </c>
      <c r="J2220" s="3" t="str">
        <f>HYPERLINK("https://www.boe.es/gazeta/dias/1817/08/21/pdfs/GMD-1817-100.pdf#page=7","Abrir facsímil")</f>
        <v>Abrir facsímil</v>
      </c>
      <c r="K2220" s="3" t="s">
        <v>23</v>
      </c>
    </row>
    <row r="2221" spans="1:11" ht="42" customHeight="1">
      <c r="A2221" s="2" t="s">
        <v>5306</v>
      </c>
      <c r="B2221" s="2" t="s">
        <v>5307</v>
      </c>
      <c r="C2221" s="2" t="s">
        <v>36</v>
      </c>
      <c r="D2221" s="2" t="s">
        <v>37</v>
      </c>
      <c r="E2221" s="5">
        <v>-30081</v>
      </c>
      <c r="F2221" s="3" t="s">
        <v>133</v>
      </c>
      <c r="G2221" s="3" t="s">
        <v>77</v>
      </c>
      <c r="H2221" s="2" t="s">
        <v>21</v>
      </c>
      <c r="I2221" s="2" t="s">
        <v>5309</v>
      </c>
      <c r="J2221" s="3" t="str">
        <f>HYPERLINK("https://www.boe.es/gazeta/dias/1817/08/21/pdfs/GMD-1817-100.pdf#page=8","Abrir facsímil")</f>
        <v>Abrir facsímil</v>
      </c>
      <c r="K2221" s="3" t="s">
        <v>23</v>
      </c>
    </row>
    <row r="2222" spans="1:11" ht="42" customHeight="1">
      <c r="A2222" s="2" t="s">
        <v>5310</v>
      </c>
      <c r="B2222" s="2" t="s">
        <v>5311</v>
      </c>
      <c r="C2222" s="2" t="s">
        <v>17</v>
      </c>
      <c r="D2222" s="2" t="s">
        <v>18</v>
      </c>
      <c r="E2222" s="5">
        <v>-30100</v>
      </c>
      <c r="F2222" s="3" t="s">
        <v>436</v>
      </c>
      <c r="G2222" s="3" t="s">
        <v>77</v>
      </c>
      <c r="H2222" s="2" t="s">
        <v>21</v>
      </c>
      <c r="I2222" s="2" t="s">
        <v>5312</v>
      </c>
      <c r="J2222" s="3" t="str">
        <f>HYPERLINK("https://www.boe.es/gazeta/dias/1817/08/02/pdfs/GMD-1817-92.pdf#page=8","Abrir facsímil")</f>
        <v>Abrir facsímil</v>
      </c>
      <c r="K2222" s="3" t="s">
        <v>23</v>
      </c>
    </row>
    <row r="2223" spans="1:11" ht="42" customHeight="1">
      <c r="A2223" s="2" t="s">
        <v>5313</v>
      </c>
      <c r="B2223" s="2" t="s">
        <v>5314</v>
      </c>
      <c r="C2223" s="2" t="s">
        <v>43</v>
      </c>
      <c r="D2223" s="2" t="s">
        <v>44</v>
      </c>
      <c r="E2223" s="5">
        <v>-30307</v>
      </c>
      <c r="F2223" s="3" t="s">
        <v>67</v>
      </c>
      <c r="G2223" s="3" t="s">
        <v>68</v>
      </c>
      <c r="H2223" s="2" t="s">
        <v>21</v>
      </c>
      <c r="I2223" s="2" t="s">
        <v>5315</v>
      </c>
      <c r="J2223" s="3" t="str">
        <f>HYPERLINK("https://www.boe.es/gazeta/dias/1817/01/07/pdfs/GMD-1817-3.pdf#page=8","Abrir facsímil")</f>
        <v>Abrir facsímil</v>
      </c>
      <c r="K2223" s="3" t="s">
        <v>23</v>
      </c>
    </row>
    <row r="2224" spans="1:11" ht="42" customHeight="1">
      <c r="A2224" s="2" t="s">
        <v>5316</v>
      </c>
      <c r="B2224" s="2" t="s">
        <v>5317</v>
      </c>
      <c r="C2224" s="2" t="s">
        <v>36</v>
      </c>
      <c r="D2224" s="2" t="s">
        <v>37</v>
      </c>
      <c r="E2224" s="5">
        <v>-29995</v>
      </c>
      <c r="F2224" s="3" t="s">
        <v>514</v>
      </c>
      <c r="G2224" s="3" t="s">
        <v>551</v>
      </c>
      <c r="H2224" s="2" t="s">
        <v>21</v>
      </c>
      <c r="I2224" s="2" t="s">
        <v>5318</v>
      </c>
      <c r="J2224" s="3" t="str">
        <f>HYPERLINK("https://www.boe.es/gazeta/dias/1817/11/15/pdfs/GMD-1817-137.pdf#page=3","Abrir facsímil")</f>
        <v>Abrir facsímil</v>
      </c>
      <c r="K2224" s="3" t="s">
        <v>23</v>
      </c>
    </row>
    <row r="2225" spans="1:11" ht="42" customHeight="1">
      <c r="A2225" s="2" t="s">
        <v>5319</v>
      </c>
      <c r="B2225" s="2" t="s">
        <v>5320</v>
      </c>
      <c r="C2225" s="2" t="s">
        <v>55</v>
      </c>
      <c r="D2225" s="2" t="s">
        <v>44</v>
      </c>
      <c r="E2225" s="5">
        <v>-29950</v>
      </c>
      <c r="F2225" s="3" t="s">
        <v>185</v>
      </c>
      <c r="G2225" s="3" t="s">
        <v>39</v>
      </c>
      <c r="H2225" s="2" t="s">
        <v>21</v>
      </c>
      <c r="I2225" s="2" t="s">
        <v>5321</v>
      </c>
      <c r="J2225" s="3" t="str">
        <f>HYPERLINK("https://www.boe.es/gazeta/dias/1817/12/30/pdfs/GMD-1817-156.pdf#page=5","Abrir facsímil")</f>
        <v>Abrir facsímil</v>
      </c>
      <c r="K2225" s="3" t="s">
        <v>23</v>
      </c>
    </row>
    <row r="2226" spans="1:11" ht="42" customHeight="1">
      <c r="A2226" s="2" t="s">
        <v>5322</v>
      </c>
      <c r="B2226" s="2" t="s">
        <v>5323</v>
      </c>
      <c r="C2226" s="2" t="s">
        <v>43</v>
      </c>
      <c r="D2226" s="2" t="s">
        <v>44</v>
      </c>
      <c r="E2226" s="5">
        <v>-30156</v>
      </c>
      <c r="F2226" s="3" t="s">
        <v>635</v>
      </c>
      <c r="G2226" s="3" t="s">
        <v>2844</v>
      </c>
      <c r="H2226" s="2" t="s">
        <v>27</v>
      </c>
      <c r="I2226" s="2" t="s">
        <v>5324</v>
      </c>
      <c r="J2226" s="3" t="str">
        <f>HYPERLINK("https://www.boe.es/gazeta/dias/1817/06/07/pdfs/GMD-1817-68.pdf#page=7","Abrir facsímil")</f>
        <v>Abrir facsímil</v>
      </c>
      <c r="K2226" s="3" t="s">
        <v>29</v>
      </c>
    </row>
    <row r="2227" spans="1:11" ht="42" customHeight="1">
      <c r="A2227" s="2" t="s">
        <v>5325</v>
      </c>
      <c r="B2227" s="2" t="s">
        <v>5326</v>
      </c>
      <c r="C2227" s="2" t="s">
        <v>36</v>
      </c>
      <c r="D2227" s="2" t="s">
        <v>37</v>
      </c>
      <c r="E2227" s="5">
        <v>-30216</v>
      </c>
      <c r="F2227" s="3" t="s">
        <v>344</v>
      </c>
      <c r="G2227" s="3" t="s">
        <v>77</v>
      </c>
      <c r="H2227" s="2" t="s">
        <v>27</v>
      </c>
      <c r="I2227" s="2" t="s">
        <v>5327</v>
      </c>
      <c r="J2227" s="3" t="str">
        <f>HYPERLINK("https://www.boe.es/gazeta/dias/1817/04/08/pdfs/GMD-1817-42.pdf#page=8","Abrir facsímil")</f>
        <v>Abrir facsímil</v>
      </c>
      <c r="K2227" s="3" t="s">
        <v>29</v>
      </c>
    </row>
    <row r="2228" spans="1:11" ht="42" customHeight="1">
      <c r="A2228" s="2" t="s">
        <v>5328</v>
      </c>
      <c r="B2228" s="2" t="s">
        <v>5328</v>
      </c>
      <c r="C2228" s="2" t="s">
        <v>36</v>
      </c>
      <c r="D2228" s="2" t="s">
        <v>37</v>
      </c>
      <c r="E2228" s="5">
        <v>-30081</v>
      </c>
      <c r="F2228" s="3" t="s">
        <v>133</v>
      </c>
      <c r="G2228" s="3" t="s">
        <v>39</v>
      </c>
      <c r="H2228" s="2" t="s">
        <v>21</v>
      </c>
      <c r="I2228" s="2" t="s">
        <v>5329</v>
      </c>
      <c r="J2228" s="3" t="str">
        <f>HYPERLINK("https://www.boe.es/gazeta/dias/1817/08/21/pdfs/GMD-1817-100.pdf#page=5","Abrir facsímil")</f>
        <v>Abrir facsímil</v>
      </c>
      <c r="K2228" s="3" t="s">
        <v>23</v>
      </c>
    </row>
    <row r="2229" spans="1:11" ht="42" customHeight="1">
      <c r="A2229" s="2" t="s">
        <v>5328</v>
      </c>
      <c r="B2229" s="2" t="s">
        <v>5328</v>
      </c>
      <c r="C2229" s="2" t="s">
        <v>36</v>
      </c>
      <c r="D2229" s="2" t="s">
        <v>37</v>
      </c>
      <c r="E2229" s="5">
        <v>-30081</v>
      </c>
      <c r="F2229" s="3" t="s">
        <v>133</v>
      </c>
      <c r="G2229" s="3" t="s">
        <v>20</v>
      </c>
      <c r="H2229" s="2" t="s">
        <v>21</v>
      </c>
      <c r="I2229" s="2" t="s">
        <v>5330</v>
      </c>
      <c r="J2229" s="3" t="str">
        <f>HYPERLINK("https://www.boe.es/gazeta/dias/1817/08/21/pdfs/GMD-1817-100.pdf#page=7","Abrir facsímil")</f>
        <v>Abrir facsímil</v>
      </c>
      <c r="K2229" s="3" t="s">
        <v>23</v>
      </c>
    </row>
    <row r="2230" spans="1:11" ht="42" customHeight="1">
      <c r="A2230" s="2" t="s">
        <v>5331</v>
      </c>
      <c r="B2230" s="2" t="s">
        <v>5332</v>
      </c>
      <c r="C2230" s="2" t="s">
        <v>36</v>
      </c>
      <c r="D2230" s="2" t="s">
        <v>37</v>
      </c>
      <c r="E2230" s="5">
        <v>-30188</v>
      </c>
      <c r="F2230" s="3" t="s">
        <v>177</v>
      </c>
      <c r="G2230" s="3" t="s">
        <v>551</v>
      </c>
      <c r="H2230" s="2" t="s">
        <v>21</v>
      </c>
      <c r="I2230" s="2" t="s">
        <v>5333</v>
      </c>
      <c r="J2230" s="3" t="str">
        <f>HYPERLINK("https://www.boe.es/gazeta/dias/1817/05/06/pdfs/GMD-1817-54.pdf#page=3","Abrir facsímil")</f>
        <v>Abrir facsímil</v>
      </c>
      <c r="K2230" s="3" t="s">
        <v>23</v>
      </c>
    </row>
    <row r="2231" spans="1:11" ht="42" customHeight="1">
      <c r="A2231" s="2" t="s">
        <v>5334</v>
      </c>
      <c r="B2231" s="2" t="s">
        <v>5335</v>
      </c>
      <c r="C2231" s="2" t="s">
        <v>36</v>
      </c>
      <c r="D2231" s="2" t="s">
        <v>37</v>
      </c>
      <c r="E2231" s="5">
        <v>-30081</v>
      </c>
      <c r="F2231" s="3" t="s">
        <v>133</v>
      </c>
      <c r="G2231" s="3" t="s">
        <v>39</v>
      </c>
      <c r="H2231" s="2" t="s">
        <v>21</v>
      </c>
      <c r="I2231" s="2" t="s">
        <v>5336</v>
      </c>
      <c r="J2231" s="3" t="str">
        <f>HYPERLINK("https://www.boe.es/gazeta/dias/1817/08/21/pdfs/GMD-1817-100.pdf#page=5","Abrir facsímil")</f>
        <v>Abrir facsímil</v>
      </c>
      <c r="K2231" s="3" t="s">
        <v>23</v>
      </c>
    </row>
    <row r="2232" spans="1:11" ht="42" customHeight="1">
      <c r="A2232" s="2" t="s">
        <v>5337</v>
      </c>
      <c r="B2232" s="2" t="s">
        <v>5338</v>
      </c>
      <c r="C2232" s="2" t="s">
        <v>36</v>
      </c>
      <c r="D2232" s="2" t="s">
        <v>37</v>
      </c>
      <c r="E2232" s="5">
        <v>-30081</v>
      </c>
      <c r="F2232" s="3" t="s">
        <v>133</v>
      </c>
      <c r="G2232" s="3" t="s">
        <v>57</v>
      </c>
      <c r="H2232" s="2" t="s">
        <v>21</v>
      </c>
      <c r="I2232" s="2" t="s">
        <v>5339</v>
      </c>
      <c r="J2232" s="3" t="str">
        <f>HYPERLINK("https://www.boe.es/gazeta/dias/1817/08/21/pdfs/GMD-1817-100.pdf#page=6","Abrir facsímil")</f>
        <v>Abrir facsímil</v>
      </c>
      <c r="K2232" s="3" t="s">
        <v>23</v>
      </c>
    </row>
    <row r="2233" spans="1:11" ht="42" customHeight="1">
      <c r="A2233" s="2" t="s">
        <v>5337</v>
      </c>
      <c r="B2233" s="2" t="s">
        <v>5338</v>
      </c>
      <c r="C2233" s="2" t="s">
        <v>36</v>
      </c>
      <c r="D2233" s="2" t="s">
        <v>37</v>
      </c>
      <c r="E2233" s="5">
        <v>-30081</v>
      </c>
      <c r="F2233" s="3" t="s">
        <v>133</v>
      </c>
      <c r="G2233" s="3" t="s">
        <v>77</v>
      </c>
      <c r="H2233" s="2" t="s">
        <v>21</v>
      </c>
      <c r="I2233" s="2" t="s">
        <v>5340</v>
      </c>
      <c r="J2233" s="3" t="str">
        <f>HYPERLINK("https://www.boe.es/gazeta/dias/1817/08/21/pdfs/GMD-1817-100.pdf#page=8","Abrir facsímil")</f>
        <v>Abrir facsímil</v>
      </c>
      <c r="K2233" s="3" t="s">
        <v>23</v>
      </c>
    </row>
    <row r="2234" spans="1:11" ht="42" customHeight="1">
      <c r="A2234" s="2" t="s">
        <v>5341</v>
      </c>
      <c r="B2234" s="2" t="s">
        <v>5342</v>
      </c>
      <c r="C2234" s="2" t="s">
        <v>510</v>
      </c>
      <c r="D2234" s="2" t="s">
        <v>44</v>
      </c>
      <c r="E2234" s="5">
        <v>-30305</v>
      </c>
      <c r="F2234" s="3" t="s">
        <v>405</v>
      </c>
      <c r="G2234" s="3" t="s">
        <v>77</v>
      </c>
      <c r="H2234" s="2" t="s">
        <v>21</v>
      </c>
      <c r="I2234" s="2" t="s">
        <v>5343</v>
      </c>
      <c r="J2234" s="3" t="str">
        <f>HYPERLINK("https://www.boe.es/gazeta/dias/1817/01/09/pdfs/GMD-1817-4.pdf#page=8","Abrir facsímil")</f>
        <v>Abrir facsímil</v>
      </c>
      <c r="K2234" s="3" t="s">
        <v>23</v>
      </c>
    </row>
    <row r="2235" spans="1:11" ht="42" customHeight="1">
      <c r="A2235" s="2" t="s">
        <v>5341</v>
      </c>
      <c r="B2235" s="2" t="s">
        <v>5342</v>
      </c>
      <c r="C2235" s="2" t="s">
        <v>510</v>
      </c>
      <c r="D2235" s="2" t="s">
        <v>44</v>
      </c>
      <c r="E2235" s="5">
        <v>-29964</v>
      </c>
      <c r="F2235" s="3" t="s">
        <v>482</v>
      </c>
      <c r="G2235" s="3" t="s">
        <v>483</v>
      </c>
      <c r="H2235" s="2" t="s">
        <v>21</v>
      </c>
      <c r="I2235" s="2" t="s">
        <v>5344</v>
      </c>
      <c r="J2235" s="3" t="str">
        <f>HYPERLINK("https://www.boe.es/gazeta/dias/1817/12/16/pdfs/GMD-1817-150.pdf#page=12","Abrir facsímil")</f>
        <v>Abrir facsímil</v>
      </c>
      <c r="K2235" s="3" t="s">
        <v>23</v>
      </c>
    </row>
    <row r="2236" spans="1:11" ht="42" customHeight="1">
      <c r="A2236" s="2" t="s">
        <v>5345</v>
      </c>
      <c r="B2236" s="2" t="s">
        <v>5346</v>
      </c>
      <c r="C2236" s="2" t="s">
        <v>36</v>
      </c>
      <c r="D2236" s="2" t="s">
        <v>37</v>
      </c>
      <c r="E2236" s="5">
        <v>-29967</v>
      </c>
      <c r="F2236" s="3" t="s">
        <v>183</v>
      </c>
      <c r="G2236" s="3" t="s">
        <v>144</v>
      </c>
      <c r="H2236" s="2" t="s">
        <v>21</v>
      </c>
      <c r="I2236" s="2" t="s">
        <v>5347</v>
      </c>
      <c r="J2236" s="3" t="str">
        <f>HYPERLINK("https://www.boe.es/gazeta/dias/1817/12/13/pdfs/GMD-1817-149.pdf#page=4","Abrir facsímil")</f>
        <v>Abrir facsímil</v>
      </c>
      <c r="K2236" s="3" t="s">
        <v>23</v>
      </c>
    </row>
    <row r="2237" spans="1:11" ht="42" customHeight="1">
      <c r="A2237" s="2" t="s">
        <v>5348</v>
      </c>
      <c r="B2237" s="2" t="s">
        <v>5349</v>
      </c>
      <c r="C2237" s="2" t="s">
        <v>17</v>
      </c>
      <c r="D2237" s="2" t="s">
        <v>18</v>
      </c>
      <c r="E2237" s="5">
        <v>-30212</v>
      </c>
      <c r="F2237" s="3" t="s">
        <v>745</v>
      </c>
      <c r="G2237" s="3" t="s">
        <v>57</v>
      </c>
      <c r="H2237" s="2" t="s">
        <v>21</v>
      </c>
      <c r="I2237" s="2" t="s">
        <v>5350</v>
      </c>
      <c r="J2237" s="3" t="str">
        <f>HYPERLINK("https://www.boe.es/gazeta/dias/1817/04/12/pdfs/GMD-1817-44.pdf#page=6","Abrir facsímil")</f>
        <v>Abrir facsímil</v>
      </c>
      <c r="K2237" s="3" t="s">
        <v>23</v>
      </c>
    </row>
    <row r="2238" spans="1:11" ht="42" customHeight="1">
      <c r="A2238" s="2" t="s">
        <v>5351</v>
      </c>
      <c r="B2238" s="2" t="s">
        <v>5352</v>
      </c>
      <c r="C2238" s="2" t="s">
        <v>17</v>
      </c>
      <c r="D2238" s="2" t="s">
        <v>18</v>
      </c>
      <c r="E2238" s="5">
        <v>-29957</v>
      </c>
      <c r="F2238" s="3" t="s">
        <v>1001</v>
      </c>
      <c r="G2238" s="3" t="s">
        <v>3561</v>
      </c>
      <c r="H2238" s="2" t="s">
        <v>21</v>
      </c>
      <c r="I2238" s="2" t="s">
        <v>5353</v>
      </c>
      <c r="J2238" s="3" t="str">
        <f>HYPERLINK("https://www.boe.es/gazeta/dias/1817/12/23/pdfs/GMD-1817-153.pdf#page=8","Abrir facsímil")</f>
        <v>Abrir facsímil</v>
      </c>
      <c r="K2238" s="3" t="s">
        <v>23</v>
      </c>
    </row>
    <row r="2239" spans="1:11" ht="42" customHeight="1">
      <c r="A2239" s="2" t="s">
        <v>5354</v>
      </c>
      <c r="B2239" s="2" t="s">
        <v>5355</v>
      </c>
      <c r="C2239" s="2" t="s">
        <v>36</v>
      </c>
      <c r="D2239" s="2" t="s">
        <v>37</v>
      </c>
      <c r="E2239" s="5">
        <v>-30151</v>
      </c>
      <c r="F2239" s="3" t="s">
        <v>1422</v>
      </c>
      <c r="G2239" s="3" t="s">
        <v>77</v>
      </c>
      <c r="H2239" s="2" t="s">
        <v>21</v>
      </c>
      <c r="I2239" s="2" t="s">
        <v>5356</v>
      </c>
      <c r="J2239" s="3" t="str">
        <f>HYPERLINK("https://www.boe.es/gazeta/dias/1817/06/12/pdfs/GMD-1817-70.pdf#page=8","Abrir facsímil")</f>
        <v>Abrir facsímil</v>
      </c>
      <c r="K2239" s="3" t="s">
        <v>23</v>
      </c>
    </row>
    <row r="2240" spans="1:11" ht="42" customHeight="1">
      <c r="A2240" s="2" t="s">
        <v>5357</v>
      </c>
      <c r="B2240" s="2" t="s">
        <v>5358</v>
      </c>
      <c r="C2240" s="2" t="s">
        <v>36</v>
      </c>
      <c r="D2240" s="2" t="s">
        <v>37</v>
      </c>
      <c r="E2240" s="5">
        <v>-30039</v>
      </c>
      <c r="F2240" s="3" t="s">
        <v>558</v>
      </c>
      <c r="G2240" s="3" t="s">
        <v>1592</v>
      </c>
      <c r="H2240" s="2" t="s">
        <v>21</v>
      </c>
      <c r="I2240" s="2" t="s">
        <v>5359</v>
      </c>
      <c r="J2240" s="3" t="str">
        <f>HYPERLINK("https://www.boe.es/gazeta/dias/1817/10/02/pdfs/GMD-1817-118.pdf#page=6","Abrir facsímil")</f>
        <v>Abrir facsímil</v>
      </c>
      <c r="K2240" s="3" t="s">
        <v>23</v>
      </c>
    </row>
    <row r="2241" spans="1:11" ht="42" customHeight="1">
      <c r="A2241" s="2" t="s">
        <v>5360</v>
      </c>
      <c r="B2241" s="2" t="s">
        <v>5361</v>
      </c>
      <c r="C2241" s="2" t="s">
        <v>36</v>
      </c>
      <c r="D2241" s="2" t="s">
        <v>37</v>
      </c>
      <c r="E2241" s="5">
        <v>-29964</v>
      </c>
      <c r="F2241" s="3" t="s">
        <v>482</v>
      </c>
      <c r="G2241" s="3" t="s">
        <v>112</v>
      </c>
      <c r="H2241" s="2" t="s">
        <v>21</v>
      </c>
      <c r="I2241" s="2" t="s">
        <v>5362</v>
      </c>
      <c r="J2241" s="3" t="str">
        <f>HYPERLINK("https://www.boe.es/gazeta/dias/1817/12/16/pdfs/GMD-1817-150.pdf#page=11","Abrir facsímil")</f>
        <v>Abrir facsímil</v>
      </c>
      <c r="K2241" s="3" t="s">
        <v>23</v>
      </c>
    </row>
    <row r="2242" spans="1:11" ht="42" customHeight="1">
      <c r="A2242" s="2" t="s">
        <v>5363</v>
      </c>
      <c r="B2242" s="2" t="s">
        <v>5364</v>
      </c>
      <c r="C2242" s="2" t="s">
        <v>17</v>
      </c>
      <c r="D2242" s="2" t="s">
        <v>18</v>
      </c>
      <c r="E2242" s="5">
        <v>-29985</v>
      </c>
      <c r="F2242" s="3" t="s">
        <v>76</v>
      </c>
      <c r="G2242" s="3" t="s">
        <v>82</v>
      </c>
      <c r="H2242" s="2" t="s">
        <v>27</v>
      </c>
      <c r="I2242" s="2" t="s">
        <v>5365</v>
      </c>
      <c r="J2242" s="3" t="str">
        <f>HYPERLINK("https://www.boe.es/gazeta/dias/1817/11/25/pdfs/GMD-1817-141.pdf#page=12","Abrir facsímil")</f>
        <v>Abrir facsímil</v>
      </c>
      <c r="K2242" s="3" t="s">
        <v>29</v>
      </c>
    </row>
    <row r="2243" spans="1:11" ht="42" customHeight="1">
      <c r="A2243" s="2" t="s">
        <v>5366</v>
      </c>
      <c r="B2243" s="2" t="s">
        <v>5367</v>
      </c>
      <c r="C2243" s="2" t="s">
        <v>17</v>
      </c>
      <c r="D2243" s="2" t="s">
        <v>18</v>
      </c>
      <c r="E2243" s="5">
        <v>-30093</v>
      </c>
      <c r="F2243" s="3" t="s">
        <v>230</v>
      </c>
      <c r="G2243" s="3" t="s">
        <v>20</v>
      </c>
      <c r="H2243" s="2" t="s">
        <v>27</v>
      </c>
      <c r="I2243" s="2" t="s">
        <v>5368</v>
      </c>
      <c r="J2243" s="3" t="str">
        <f>HYPERLINK("https://www.boe.es/gazeta/dias/1817/08/09/pdfs/GMD-1817-95.pdf#page=7","Abrir facsímil")</f>
        <v>Abrir facsímil</v>
      </c>
      <c r="K2243" s="3" t="s">
        <v>29</v>
      </c>
    </row>
    <row r="2244" spans="1:11" ht="42" customHeight="1">
      <c r="A2244" s="2" t="s">
        <v>5369</v>
      </c>
      <c r="B2244" s="2" t="s">
        <v>5370</v>
      </c>
      <c r="C2244" s="2" t="s">
        <v>17</v>
      </c>
      <c r="D2244" s="2" t="s">
        <v>18</v>
      </c>
      <c r="E2244" s="5">
        <v>-30191</v>
      </c>
      <c r="F2244" s="3" t="s">
        <v>420</v>
      </c>
      <c r="G2244" s="3" t="s">
        <v>421</v>
      </c>
      <c r="H2244" s="2" t="s">
        <v>27</v>
      </c>
      <c r="I2244" s="2" t="s">
        <v>5371</v>
      </c>
      <c r="J2244" s="3" t="str">
        <f>HYPERLINK("https://www.boe.es/gazeta/dias/1817/05/03/pdfs/GMD-1817-53.pdf#page=8","Abrir facsímil")</f>
        <v>Abrir facsímil</v>
      </c>
      <c r="K2244" s="3" t="s">
        <v>29</v>
      </c>
    </row>
    <row r="2245" spans="1:11" ht="42" customHeight="1">
      <c r="A2245" s="2" t="s">
        <v>5369</v>
      </c>
      <c r="B2245" s="2" t="s">
        <v>5370</v>
      </c>
      <c r="C2245" s="2" t="s">
        <v>17</v>
      </c>
      <c r="D2245" s="2" t="s">
        <v>18</v>
      </c>
      <c r="E2245" s="5">
        <v>-30149</v>
      </c>
      <c r="F2245" s="3" t="s">
        <v>430</v>
      </c>
      <c r="G2245" s="3" t="s">
        <v>77</v>
      </c>
      <c r="H2245" s="2" t="s">
        <v>27</v>
      </c>
      <c r="I2245" s="2" t="s">
        <v>5372</v>
      </c>
      <c r="J2245" s="3" t="str">
        <f>HYPERLINK("https://www.boe.es/gazeta/dias/1817/06/14/pdfs/GMD-1817-71.pdf#page=8","Abrir facsímil")</f>
        <v>Abrir facsímil</v>
      </c>
      <c r="K2245" s="3" t="s">
        <v>29</v>
      </c>
    </row>
    <row r="2246" spans="1:11" ht="42" customHeight="1">
      <c r="A2246" s="2" t="s">
        <v>5369</v>
      </c>
      <c r="B2246" s="2" t="s">
        <v>5370</v>
      </c>
      <c r="C2246" s="2" t="s">
        <v>17</v>
      </c>
      <c r="D2246" s="2" t="s">
        <v>18</v>
      </c>
      <c r="E2246" s="5">
        <v>-30074</v>
      </c>
      <c r="F2246" s="3" t="s">
        <v>368</v>
      </c>
      <c r="G2246" s="3" t="s">
        <v>369</v>
      </c>
      <c r="H2246" s="2" t="s">
        <v>27</v>
      </c>
      <c r="I2246" s="2" t="s">
        <v>5373</v>
      </c>
      <c r="J2246" s="3" t="str">
        <f>HYPERLINK("https://www.boe.es/gazeta/dias/1817/08/28/pdfs/GMD-1817-103.pdf#page=12","Abrir facsímil")</f>
        <v>Abrir facsímil</v>
      </c>
      <c r="K2246" s="3" t="s">
        <v>29</v>
      </c>
    </row>
    <row r="2247" spans="1:11" ht="42" customHeight="1">
      <c r="A2247" s="2" t="s">
        <v>5369</v>
      </c>
      <c r="B2247" s="2" t="s">
        <v>5370</v>
      </c>
      <c r="C2247" s="2" t="s">
        <v>36</v>
      </c>
      <c r="D2247" s="2" t="s">
        <v>37</v>
      </c>
      <c r="E2247" s="5">
        <v>-30062</v>
      </c>
      <c r="F2247" s="3" t="s">
        <v>444</v>
      </c>
      <c r="G2247" s="3" t="s">
        <v>82</v>
      </c>
      <c r="H2247" s="2" t="s">
        <v>27</v>
      </c>
      <c r="I2247" s="2" t="s">
        <v>5374</v>
      </c>
      <c r="J2247" s="3" t="str">
        <f>HYPERLINK("https://www.boe.es/gazeta/dias/1817/09/09/pdfs/GMD-1817-108.pdf#page=12","Abrir facsímil")</f>
        <v>Abrir facsímil</v>
      </c>
      <c r="K2247" s="3" t="s">
        <v>29</v>
      </c>
    </row>
    <row r="2248" spans="1:11" ht="42" customHeight="1">
      <c r="A2248" s="2" t="s">
        <v>5369</v>
      </c>
      <c r="B2248" s="2" t="s">
        <v>5370</v>
      </c>
      <c r="C2248" s="2" t="s">
        <v>17</v>
      </c>
      <c r="D2248" s="2" t="s">
        <v>18</v>
      </c>
      <c r="E2248" s="5">
        <v>-30032</v>
      </c>
      <c r="F2248" s="3" t="s">
        <v>337</v>
      </c>
      <c r="G2248" s="3" t="s">
        <v>77</v>
      </c>
      <c r="H2248" s="2" t="s">
        <v>27</v>
      </c>
      <c r="I2248" s="2" t="s">
        <v>5375</v>
      </c>
      <c r="J2248" s="3" t="str">
        <f>HYPERLINK("https://www.boe.es/gazeta/dias/1817/10/09/pdfs/GMD-1817-121.pdf#page=8","Abrir facsímil")</f>
        <v>Abrir facsímil</v>
      </c>
      <c r="K2248" s="3" t="s">
        <v>29</v>
      </c>
    </row>
    <row r="2249" spans="1:11" ht="42" customHeight="1">
      <c r="A2249" s="2" t="s">
        <v>5376</v>
      </c>
      <c r="B2249" s="2" t="s">
        <v>5377</v>
      </c>
      <c r="C2249" s="2" t="s">
        <v>43</v>
      </c>
      <c r="D2249" s="2" t="s">
        <v>44</v>
      </c>
      <c r="E2249" s="5">
        <v>-30307</v>
      </c>
      <c r="F2249" s="3" t="s">
        <v>67</v>
      </c>
      <c r="G2249" s="3" t="s">
        <v>68</v>
      </c>
      <c r="H2249" s="2" t="s">
        <v>27</v>
      </c>
      <c r="I2249" s="2" t="s">
        <v>5378</v>
      </c>
      <c r="J2249" s="3" t="str">
        <f>HYPERLINK("https://www.boe.es/gazeta/dias/1817/01/07/pdfs/GMD-1817-3.pdf#page=8","Abrir facsímil")</f>
        <v>Abrir facsímil</v>
      </c>
      <c r="K2249" s="3" t="s">
        <v>29</v>
      </c>
    </row>
    <row r="2250" spans="1:11" ht="42" customHeight="1">
      <c r="A2250" s="2" t="s">
        <v>5379</v>
      </c>
      <c r="B2250" s="2" t="s">
        <v>5380</v>
      </c>
      <c r="C2250" s="2" t="s">
        <v>17</v>
      </c>
      <c r="D2250" s="2" t="s">
        <v>18</v>
      </c>
      <c r="E2250" s="5">
        <v>-30221</v>
      </c>
      <c r="F2250" s="3" t="s">
        <v>256</v>
      </c>
      <c r="G2250" s="3" t="s">
        <v>77</v>
      </c>
      <c r="H2250" s="2" t="s">
        <v>21</v>
      </c>
      <c r="I2250" s="2" t="s">
        <v>5381</v>
      </c>
      <c r="J2250" s="3" t="str">
        <f>HYPERLINK("https://www.boe.es/gazeta/dias/1817/04/03/pdfs/GMD-1817-40.pdf#page=8","Abrir facsímil")</f>
        <v>Abrir facsímil</v>
      </c>
      <c r="K2250" s="3" t="s">
        <v>23</v>
      </c>
    </row>
    <row r="2251" spans="1:11" ht="42" customHeight="1">
      <c r="A2251" s="2" t="s">
        <v>5382</v>
      </c>
      <c r="B2251" s="2" t="s">
        <v>5383</v>
      </c>
      <c r="C2251" s="2" t="s">
        <v>36</v>
      </c>
      <c r="D2251" s="2" t="s">
        <v>37</v>
      </c>
      <c r="E2251" s="5">
        <v>-30053</v>
      </c>
      <c r="F2251" s="3" t="s">
        <v>129</v>
      </c>
      <c r="G2251" s="3" t="s">
        <v>3667</v>
      </c>
      <c r="H2251" s="2" t="s">
        <v>21</v>
      </c>
      <c r="I2251" s="2" t="s">
        <v>5384</v>
      </c>
      <c r="J2251" s="3" t="str">
        <f>HYPERLINK("https://www.boe.es/gazeta/dias/1817/09/18/pdfs/GMD-1817-112.pdf#page=6","Abrir facsímil")</f>
        <v>Abrir facsímil</v>
      </c>
      <c r="K2251" s="3" t="s">
        <v>23</v>
      </c>
    </row>
    <row r="2252" spans="1:11" ht="42" customHeight="1">
      <c r="A2252" s="2" t="s">
        <v>5385</v>
      </c>
      <c r="B2252" s="2" t="s">
        <v>5385</v>
      </c>
      <c r="C2252" s="2" t="s">
        <v>36</v>
      </c>
      <c r="D2252" s="2" t="s">
        <v>37</v>
      </c>
      <c r="E2252" s="5">
        <v>-30109</v>
      </c>
      <c r="F2252" s="3" t="s">
        <v>205</v>
      </c>
      <c r="G2252" s="3" t="s">
        <v>20</v>
      </c>
      <c r="H2252" s="2" t="s">
        <v>21</v>
      </c>
      <c r="I2252" s="2" t="s">
        <v>5386</v>
      </c>
      <c r="J2252" s="3" t="str">
        <f>HYPERLINK("https://www.boe.es/gazeta/dias/1817/07/24/pdfs/GMD-1817-88.pdf#page=7","Abrir facsímil")</f>
        <v>Abrir facsímil</v>
      </c>
      <c r="K2252" s="3" t="s">
        <v>23</v>
      </c>
    </row>
    <row r="2253" spans="1:11" ht="42" customHeight="1">
      <c r="A2253" s="2" t="s">
        <v>5387</v>
      </c>
      <c r="B2253" s="2" t="s">
        <v>5388</v>
      </c>
      <c r="C2253" s="2" t="s">
        <v>17</v>
      </c>
      <c r="D2253" s="2" t="s">
        <v>18</v>
      </c>
      <c r="E2253" s="5">
        <v>-30179</v>
      </c>
      <c r="F2253" s="3" t="s">
        <v>391</v>
      </c>
      <c r="G2253" s="3" t="s">
        <v>20</v>
      </c>
      <c r="H2253" s="2" t="s">
        <v>21</v>
      </c>
      <c r="I2253" s="2" t="s">
        <v>5389</v>
      </c>
      <c r="J2253" s="3" t="str">
        <f>HYPERLINK("https://www.boe.es/gazeta/dias/1817/05/15/pdfs/GMD-1817-58.pdf#page=7","Abrir facsímil")</f>
        <v>Abrir facsímil</v>
      </c>
      <c r="K2253" s="3" t="s">
        <v>23</v>
      </c>
    </row>
    <row r="2254" spans="1:11" ht="42" customHeight="1">
      <c r="A2254" s="2" t="s">
        <v>5390</v>
      </c>
      <c r="B2254" s="2" t="s">
        <v>5390</v>
      </c>
      <c r="C2254" s="2" t="s">
        <v>36</v>
      </c>
      <c r="D2254" s="2" t="s">
        <v>37</v>
      </c>
      <c r="E2254" s="5">
        <v>-30004</v>
      </c>
      <c r="F2254" s="3" t="s">
        <v>329</v>
      </c>
      <c r="G2254" s="3" t="s">
        <v>330</v>
      </c>
      <c r="H2254" s="2" t="s">
        <v>21</v>
      </c>
      <c r="I2254" s="2" t="s">
        <v>5391</v>
      </c>
      <c r="J2254" s="3" t="str">
        <f>HYPERLINK("https://www.boe.es/gazeta/dias/1817/11/06/pdfs/GMD-1817-133.pdf#page=4","Abrir facsímil")</f>
        <v>Abrir facsímil</v>
      </c>
      <c r="K2254" s="3" t="s">
        <v>23</v>
      </c>
    </row>
    <row r="2255" spans="1:11" ht="42" customHeight="1">
      <c r="A2255" s="2" t="s">
        <v>5392</v>
      </c>
      <c r="B2255" s="2" t="s">
        <v>5393</v>
      </c>
      <c r="C2255" s="2" t="s">
        <v>43</v>
      </c>
      <c r="D2255" s="2" t="s">
        <v>44</v>
      </c>
      <c r="E2255" s="5">
        <v>-30006</v>
      </c>
      <c r="F2255" s="3" t="s">
        <v>210</v>
      </c>
      <c r="G2255" s="3" t="s">
        <v>39</v>
      </c>
      <c r="H2255" s="2" t="s">
        <v>21</v>
      </c>
      <c r="I2255" s="2" t="s">
        <v>5394</v>
      </c>
      <c r="J2255" s="3" t="str">
        <f>HYPERLINK("https://www.boe.es/gazeta/dias/1817/11/04/pdfs/GMD-1817-132.pdf#page=5","Abrir facsímil")</f>
        <v>Abrir facsímil</v>
      </c>
      <c r="K2255" s="3" t="s">
        <v>23</v>
      </c>
    </row>
    <row r="2256" spans="1:11" ht="42" customHeight="1">
      <c r="A2256" s="2" t="s">
        <v>5395</v>
      </c>
      <c r="B2256" s="2" t="s">
        <v>5396</v>
      </c>
      <c r="C2256" s="2" t="s">
        <v>17</v>
      </c>
      <c r="D2256" s="2" t="s">
        <v>18</v>
      </c>
      <c r="E2256" s="5">
        <v>-30118</v>
      </c>
      <c r="F2256" s="3" t="s">
        <v>432</v>
      </c>
      <c r="G2256" s="3" t="s">
        <v>648</v>
      </c>
      <c r="H2256" s="2" t="s">
        <v>21</v>
      </c>
      <c r="I2256" s="2" t="s">
        <v>5397</v>
      </c>
      <c r="J2256" s="3" t="str">
        <f>HYPERLINK("https://www.boe.es/gazeta/dias/1817/07/15/pdfs/GMD-1817-84.pdf#page=4","Abrir facsímil")</f>
        <v>Abrir facsímil</v>
      </c>
      <c r="K2256" s="3" t="s">
        <v>23</v>
      </c>
    </row>
    <row r="2257" spans="1:11" ht="42" customHeight="1">
      <c r="A2257" s="2" t="s">
        <v>5395</v>
      </c>
      <c r="B2257" s="2" t="s">
        <v>5396</v>
      </c>
      <c r="C2257" s="2" t="s">
        <v>36</v>
      </c>
      <c r="D2257" s="2" t="s">
        <v>37</v>
      </c>
      <c r="E2257" s="5">
        <v>-30006</v>
      </c>
      <c r="F2257" s="3" t="s">
        <v>210</v>
      </c>
      <c r="G2257" s="3" t="s">
        <v>39</v>
      </c>
      <c r="H2257" s="2" t="s">
        <v>21</v>
      </c>
      <c r="I2257" s="2" t="s">
        <v>5398</v>
      </c>
      <c r="J2257" s="3" t="str">
        <f>HYPERLINK("https://www.boe.es/gazeta/dias/1817/11/04/pdfs/GMD-1817-132.pdf#page=5","Abrir facsímil")</f>
        <v>Abrir facsímil</v>
      </c>
      <c r="K2257" s="3" t="s">
        <v>23</v>
      </c>
    </row>
    <row r="2258" spans="1:11" ht="42" customHeight="1">
      <c r="A2258" s="2" t="s">
        <v>5399</v>
      </c>
      <c r="B2258" s="2" t="s">
        <v>5400</v>
      </c>
      <c r="C2258" s="2" t="s">
        <v>138</v>
      </c>
      <c r="D2258" s="2" t="s">
        <v>44</v>
      </c>
      <c r="E2258" s="5">
        <v>-30030</v>
      </c>
      <c r="F2258" s="3" t="s">
        <v>508</v>
      </c>
      <c r="G2258" s="3" t="s">
        <v>82</v>
      </c>
      <c r="H2258" s="2" t="s">
        <v>21</v>
      </c>
      <c r="I2258" s="2" t="s">
        <v>5401</v>
      </c>
      <c r="J2258" s="3" t="str">
        <f>HYPERLINK("https://www.boe.es/gazeta/dias/1817/10/11/pdfs/GMD-1817-122.pdf#page=12","Abrir facsímil")</f>
        <v>Abrir facsímil</v>
      </c>
      <c r="K2258" s="3" t="s">
        <v>23</v>
      </c>
    </row>
    <row r="2259" spans="1:11" ht="42" customHeight="1">
      <c r="A2259" s="2" t="s">
        <v>5402</v>
      </c>
      <c r="B2259" s="2" t="s">
        <v>5403</v>
      </c>
      <c r="C2259" s="2" t="s">
        <v>36</v>
      </c>
      <c r="D2259" s="2" t="s">
        <v>37</v>
      </c>
      <c r="E2259" s="5">
        <v>-29962</v>
      </c>
      <c r="F2259" s="3" t="s">
        <v>485</v>
      </c>
      <c r="G2259" s="3" t="s">
        <v>144</v>
      </c>
      <c r="H2259" s="2" t="s">
        <v>21</v>
      </c>
      <c r="I2259" s="2" t="s">
        <v>5404</v>
      </c>
      <c r="J2259" s="3" t="str">
        <f>HYPERLINK("https://www.boe.es/gazeta/dias/1817/12/18/pdfs/GMD-1817-151.pdf#page=4","Abrir facsímil")</f>
        <v>Abrir facsímil</v>
      </c>
      <c r="K2259" s="3" t="s">
        <v>23</v>
      </c>
    </row>
    <row r="2260" spans="1:11" ht="42" customHeight="1">
      <c r="A2260" s="2" t="s">
        <v>5405</v>
      </c>
      <c r="B2260" s="2" t="s">
        <v>5406</v>
      </c>
      <c r="C2260" s="2" t="s">
        <v>43</v>
      </c>
      <c r="D2260" s="2" t="s">
        <v>44</v>
      </c>
      <c r="E2260" s="5">
        <v>-30020</v>
      </c>
      <c r="F2260" s="3" t="s">
        <v>291</v>
      </c>
      <c r="G2260" s="3" t="s">
        <v>551</v>
      </c>
      <c r="H2260" s="2" t="s">
        <v>21</v>
      </c>
      <c r="I2260" s="2" t="s">
        <v>5407</v>
      </c>
      <c r="J2260" s="3" t="str">
        <f>HYPERLINK("https://www.boe.es/gazeta/dias/1817/10/21/pdfs/GMD-1817-126.pdf#page=3","Abrir facsímil")</f>
        <v>Abrir facsímil</v>
      </c>
      <c r="K2260" s="3" t="s">
        <v>23</v>
      </c>
    </row>
    <row r="2261" spans="1:11" ht="42" customHeight="1">
      <c r="A2261" s="2" t="s">
        <v>5408</v>
      </c>
      <c r="B2261" s="2" t="s">
        <v>5409</v>
      </c>
      <c r="C2261" s="2" t="s">
        <v>36</v>
      </c>
      <c r="D2261" s="2" t="s">
        <v>37</v>
      </c>
      <c r="E2261" s="5">
        <v>-30237</v>
      </c>
      <c r="F2261" s="3" t="s">
        <v>56</v>
      </c>
      <c r="G2261" s="3" t="s">
        <v>20</v>
      </c>
      <c r="H2261" s="2" t="s">
        <v>21</v>
      </c>
      <c r="I2261" s="2" t="s">
        <v>5410</v>
      </c>
      <c r="J2261" s="3" t="str">
        <f>HYPERLINK("https://www.boe.es/gazeta/dias/1817/03/18/pdfs/GMD-1817-33.pdf#page=7","Abrir facsímil")</f>
        <v>Abrir facsímil</v>
      </c>
      <c r="K2261" s="3" t="s">
        <v>23</v>
      </c>
    </row>
    <row r="2262" spans="1:11" ht="42" customHeight="1">
      <c r="A2262" s="2" t="s">
        <v>5408</v>
      </c>
      <c r="B2262" s="2" t="s">
        <v>5409</v>
      </c>
      <c r="C2262" s="2" t="s">
        <v>36</v>
      </c>
      <c r="D2262" s="2" t="s">
        <v>37</v>
      </c>
      <c r="E2262" s="5">
        <v>-30009</v>
      </c>
      <c r="F2262" s="3" t="s">
        <v>512</v>
      </c>
      <c r="G2262" s="3" t="s">
        <v>144</v>
      </c>
      <c r="H2262" s="2" t="s">
        <v>21</v>
      </c>
      <c r="I2262" s="2" t="s">
        <v>5411</v>
      </c>
      <c r="J2262" s="3" t="str">
        <f>HYPERLINK("https://www.boe.es/gazeta/dias/1817/11/01/pdfs/GMD-1817-131.pdf#page=4","Abrir facsímil")</f>
        <v>Abrir facsímil</v>
      </c>
      <c r="K2262" s="3" t="s">
        <v>23</v>
      </c>
    </row>
    <row r="2263" spans="1:11" ht="42" customHeight="1">
      <c r="A2263" s="2" t="s">
        <v>5412</v>
      </c>
      <c r="B2263" s="2" t="s">
        <v>5413</v>
      </c>
      <c r="C2263" s="2" t="s">
        <v>36</v>
      </c>
      <c r="D2263" s="2" t="s">
        <v>37</v>
      </c>
      <c r="E2263" s="5">
        <v>-30277</v>
      </c>
      <c r="F2263" s="3" t="s">
        <v>3822</v>
      </c>
      <c r="G2263" s="3" t="s">
        <v>77</v>
      </c>
      <c r="H2263" s="2" t="s">
        <v>21</v>
      </c>
      <c r="I2263" s="2" t="s">
        <v>5414</v>
      </c>
      <c r="J2263" s="3" t="str">
        <f>HYPERLINK("https://www.boe.es/gazeta/dias/1817/02/06/pdfs/GMD-1817-16.pdf#page=8","Abrir facsímil")</f>
        <v>Abrir facsímil</v>
      </c>
      <c r="K2263" s="3" t="s">
        <v>23</v>
      </c>
    </row>
    <row r="2264" spans="1:11" ht="42" customHeight="1">
      <c r="A2264" s="2" t="s">
        <v>5415</v>
      </c>
      <c r="B2264" s="2" t="s">
        <v>5416</v>
      </c>
      <c r="C2264" s="2" t="s">
        <v>17</v>
      </c>
      <c r="D2264" s="2" t="s">
        <v>18</v>
      </c>
      <c r="E2264" s="5">
        <v>-30195</v>
      </c>
      <c r="F2264" s="3" t="s">
        <v>1163</v>
      </c>
      <c r="G2264" s="3" t="s">
        <v>4945</v>
      </c>
      <c r="H2264" s="2" t="s">
        <v>21</v>
      </c>
      <c r="I2264" s="2" t="s">
        <v>5417</v>
      </c>
      <c r="J2264" s="3" t="str">
        <f>HYPERLINK("https://www.boe.es/gazeta/dias/1817/04/29/pdfs/GMD-1817-51.pdf#page=8","Abrir facsímil")</f>
        <v>Abrir facsímil</v>
      </c>
      <c r="K2264" s="3" t="s">
        <v>23</v>
      </c>
    </row>
    <row r="2265" spans="1:11" ht="42" customHeight="1">
      <c r="A2265" s="2" t="s">
        <v>5418</v>
      </c>
      <c r="B2265" s="2" t="s">
        <v>5419</v>
      </c>
      <c r="C2265" s="2" t="s">
        <v>17</v>
      </c>
      <c r="D2265" s="2" t="s">
        <v>18</v>
      </c>
      <c r="E2265" s="5">
        <v>-29999</v>
      </c>
      <c r="F2265" s="3" t="s">
        <v>471</v>
      </c>
      <c r="G2265" s="3" t="s">
        <v>472</v>
      </c>
      <c r="H2265" s="2" t="s">
        <v>21</v>
      </c>
      <c r="I2265" s="2" t="s">
        <v>5420</v>
      </c>
      <c r="J2265" s="3" t="str">
        <f>HYPERLINK("https://www.boe.es/gazeta/dias/1817/11/11/pdfs/GMD-1817-135.pdf#page=16","Abrir facsímil")</f>
        <v>Abrir facsímil</v>
      </c>
      <c r="K2265" s="3" t="s">
        <v>23</v>
      </c>
    </row>
    <row r="2266" spans="1:11" ht="42" customHeight="1">
      <c r="A2266" s="2" t="s">
        <v>5418</v>
      </c>
      <c r="B2266" s="2" t="s">
        <v>5419</v>
      </c>
      <c r="C2266" s="2" t="s">
        <v>17</v>
      </c>
      <c r="D2266" s="2" t="s">
        <v>18</v>
      </c>
      <c r="E2266" s="5">
        <v>-29976</v>
      </c>
      <c r="F2266" s="3" t="s">
        <v>81</v>
      </c>
      <c r="G2266" s="3" t="s">
        <v>82</v>
      </c>
      <c r="H2266" s="2" t="s">
        <v>21</v>
      </c>
      <c r="I2266" s="2" t="s">
        <v>5421</v>
      </c>
      <c r="J2266" s="3" t="str">
        <f>HYPERLINK("https://www.boe.es/gazeta/dias/1817/12/04/pdfs/GMD-1817-145.pdf#page=12","Abrir facsímil")</f>
        <v>Abrir facsímil</v>
      </c>
      <c r="K2266" s="3" t="s">
        <v>23</v>
      </c>
    </row>
    <row r="2267" spans="1:11" ht="42" customHeight="1">
      <c r="A2267" s="2" t="s">
        <v>5422</v>
      </c>
      <c r="B2267" s="2" t="s">
        <v>5423</v>
      </c>
      <c r="C2267" s="2" t="s">
        <v>43</v>
      </c>
      <c r="D2267" s="2" t="s">
        <v>44</v>
      </c>
      <c r="E2267" s="5">
        <v>-30212</v>
      </c>
      <c r="F2267" s="3" t="s">
        <v>745</v>
      </c>
      <c r="G2267" s="3" t="s">
        <v>77</v>
      </c>
      <c r="H2267" s="2" t="s">
        <v>21</v>
      </c>
      <c r="I2267" s="2" t="s">
        <v>5424</v>
      </c>
      <c r="J2267" s="3" t="str">
        <f>HYPERLINK("https://www.boe.es/gazeta/dias/1817/04/12/pdfs/GMD-1817-44.pdf#page=8","Abrir facsímil")</f>
        <v>Abrir facsímil</v>
      </c>
      <c r="K2267" s="3" t="s">
        <v>23</v>
      </c>
    </row>
    <row r="2268" spans="1:11" ht="42" customHeight="1">
      <c r="A2268" s="2" t="s">
        <v>5425</v>
      </c>
      <c r="B2268" s="2" t="s">
        <v>5426</v>
      </c>
      <c r="C2268" s="2" t="s">
        <v>55</v>
      </c>
      <c r="D2268" s="2" t="s">
        <v>44</v>
      </c>
      <c r="E2268" s="5">
        <v>-30086</v>
      </c>
      <c r="F2268" s="3" t="s">
        <v>221</v>
      </c>
      <c r="G2268" s="3" t="s">
        <v>39</v>
      </c>
      <c r="H2268" s="2" t="s">
        <v>21</v>
      </c>
      <c r="I2268" s="2" t="s">
        <v>5427</v>
      </c>
      <c r="J2268" s="3" t="str">
        <f>HYPERLINK("https://www.boe.es/gazeta/dias/1817/08/16/pdfs/GMD-1817-98.pdf#page=5","Abrir facsímil")</f>
        <v>Abrir facsímil</v>
      </c>
      <c r="K2268" s="3" t="s">
        <v>23</v>
      </c>
    </row>
    <row r="2269" spans="1:11" ht="42" customHeight="1">
      <c r="A2269" s="2" t="s">
        <v>5428</v>
      </c>
      <c r="B2269" s="2" t="s">
        <v>5429</v>
      </c>
      <c r="C2269" s="2" t="s">
        <v>36</v>
      </c>
      <c r="D2269" s="2" t="s">
        <v>37</v>
      </c>
      <c r="E2269" s="5">
        <v>-30004</v>
      </c>
      <c r="F2269" s="3" t="s">
        <v>329</v>
      </c>
      <c r="G2269" s="3" t="s">
        <v>551</v>
      </c>
      <c r="H2269" s="2" t="s">
        <v>21</v>
      </c>
      <c r="I2269" s="2" t="s">
        <v>5430</v>
      </c>
      <c r="J2269" s="3" t="str">
        <f>HYPERLINK("https://www.boe.es/gazeta/dias/1817/11/06/pdfs/GMD-1817-133.pdf#page=3","Abrir facsímil")</f>
        <v>Abrir facsímil</v>
      </c>
      <c r="K2269" s="3" t="s">
        <v>23</v>
      </c>
    </row>
    <row r="2270" spans="1:11" ht="42" customHeight="1">
      <c r="A2270" s="2" t="s">
        <v>5428</v>
      </c>
      <c r="B2270" s="2" t="s">
        <v>5429</v>
      </c>
      <c r="C2270" s="2" t="s">
        <v>36</v>
      </c>
      <c r="D2270" s="2" t="s">
        <v>37</v>
      </c>
      <c r="E2270" s="5">
        <v>-30004</v>
      </c>
      <c r="F2270" s="3" t="s">
        <v>329</v>
      </c>
      <c r="G2270" s="3" t="s">
        <v>39</v>
      </c>
      <c r="H2270" s="2" t="s">
        <v>21</v>
      </c>
      <c r="I2270" s="2" t="s">
        <v>5431</v>
      </c>
      <c r="J2270" s="3" t="str">
        <f>HYPERLINK("https://www.boe.es/gazeta/dias/1817/11/06/pdfs/GMD-1817-133.pdf#page=5","Abrir facsímil")</f>
        <v>Abrir facsímil</v>
      </c>
      <c r="K2270" s="3" t="s">
        <v>23</v>
      </c>
    </row>
    <row r="2271" spans="1:11" ht="42" customHeight="1">
      <c r="A2271" s="2" t="s">
        <v>5432</v>
      </c>
      <c r="B2271" s="2" t="s">
        <v>5433</v>
      </c>
      <c r="C2271" s="2" t="s">
        <v>17</v>
      </c>
      <c r="D2271" s="2" t="s">
        <v>18</v>
      </c>
      <c r="E2271" s="5">
        <v>-30032</v>
      </c>
      <c r="F2271" s="3" t="s">
        <v>337</v>
      </c>
      <c r="G2271" s="3" t="s">
        <v>77</v>
      </c>
      <c r="H2271" s="2" t="s">
        <v>21</v>
      </c>
      <c r="I2271" s="2" t="s">
        <v>5434</v>
      </c>
      <c r="J2271" s="3" t="str">
        <f>HYPERLINK("https://www.boe.es/gazeta/dias/1817/10/09/pdfs/GMD-1817-121.pdf#page=8","Abrir facsímil")</f>
        <v>Abrir facsímil</v>
      </c>
      <c r="K2271" s="3" t="s">
        <v>23</v>
      </c>
    </row>
    <row r="2272" spans="1:11" ht="42" customHeight="1">
      <c r="A2272" s="2" t="s">
        <v>5435</v>
      </c>
      <c r="B2272" s="2" t="s">
        <v>5436</v>
      </c>
      <c r="C2272" s="2" t="s">
        <v>36</v>
      </c>
      <c r="D2272" s="2" t="s">
        <v>37</v>
      </c>
      <c r="E2272" s="5">
        <v>-30114</v>
      </c>
      <c r="F2272" s="3" t="s">
        <v>500</v>
      </c>
      <c r="G2272" s="3" t="s">
        <v>4362</v>
      </c>
      <c r="H2272" s="2" t="s">
        <v>21</v>
      </c>
      <c r="I2272" s="2" t="s">
        <v>5437</v>
      </c>
      <c r="J2272" s="3" t="str">
        <f>HYPERLINK("https://www.boe.es/gazeta/dias/1817/07/19/pdfs/GMD-1817-86.pdf#page=5","Abrir facsímil")</f>
        <v>Abrir facsímil</v>
      </c>
      <c r="K2272" s="3" t="s">
        <v>23</v>
      </c>
    </row>
    <row r="2273" spans="1:11" ht="42" customHeight="1">
      <c r="A2273" s="2" t="s">
        <v>5438</v>
      </c>
      <c r="B2273" s="2" t="s">
        <v>5439</v>
      </c>
      <c r="C2273" s="2" t="s">
        <v>17</v>
      </c>
      <c r="D2273" s="2" t="s">
        <v>18</v>
      </c>
      <c r="E2273" s="5">
        <v>-30151</v>
      </c>
      <c r="F2273" s="3" t="s">
        <v>1422</v>
      </c>
      <c r="G2273" s="3" t="s">
        <v>20</v>
      </c>
      <c r="H2273" s="2" t="s">
        <v>21</v>
      </c>
      <c r="I2273" s="2" t="s">
        <v>5440</v>
      </c>
      <c r="J2273" s="3" t="str">
        <f>HYPERLINK("https://www.boe.es/gazeta/dias/1817/06/12/pdfs/GMD-1817-70.pdf#page=7","Abrir facsímil")</f>
        <v>Abrir facsímil</v>
      </c>
      <c r="K2273" s="3" t="s">
        <v>23</v>
      </c>
    </row>
    <row r="2274" spans="1:11" ht="42" customHeight="1">
      <c r="A2274" s="2" t="s">
        <v>5441</v>
      </c>
      <c r="B2274" s="2" t="s">
        <v>5442</v>
      </c>
      <c r="C2274" s="2" t="s">
        <v>55</v>
      </c>
      <c r="D2274" s="2" t="s">
        <v>44</v>
      </c>
      <c r="E2274" s="5">
        <v>-30135</v>
      </c>
      <c r="F2274" s="3" t="s">
        <v>239</v>
      </c>
      <c r="G2274" s="3" t="s">
        <v>240</v>
      </c>
      <c r="H2274" s="2" t="s">
        <v>21</v>
      </c>
      <c r="I2274" s="2" t="s">
        <v>5443</v>
      </c>
      <c r="J2274" s="3" t="str">
        <f>HYPERLINK("https://www.boe.es/gazeta/dias/1817/06/28/pdfs/GMD-1817-77.pdf#page=7","Abrir facsímil")</f>
        <v>Abrir facsímil</v>
      </c>
      <c r="K2274" s="3" t="s">
        <v>23</v>
      </c>
    </row>
    <row r="2275" spans="1:11" ht="42" customHeight="1">
      <c r="A2275" s="2" t="s">
        <v>5444</v>
      </c>
      <c r="B2275" s="2" t="s">
        <v>5445</v>
      </c>
      <c r="C2275" s="2" t="s">
        <v>55</v>
      </c>
      <c r="D2275" s="2" t="s">
        <v>44</v>
      </c>
      <c r="E2275" s="5">
        <v>-29976</v>
      </c>
      <c r="F2275" s="3" t="s">
        <v>81</v>
      </c>
      <c r="G2275" s="3" t="s">
        <v>82</v>
      </c>
      <c r="H2275" s="2" t="s">
        <v>21</v>
      </c>
      <c r="I2275" s="2" t="s">
        <v>5446</v>
      </c>
      <c r="J2275" s="3" t="str">
        <f>HYPERLINK("https://www.boe.es/gazeta/dias/1817/12/04/pdfs/GMD-1817-145.pdf#page=12","Abrir facsímil")</f>
        <v>Abrir facsímil</v>
      </c>
      <c r="K2275" s="3" t="s">
        <v>23</v>
      </c>
    </row>
    <row r="2276" spans="1:11" ht="42" customHeight="1">
      <c r="A2276" s="2" t="s">
        <v>5447</v>
      </c>
      <c r="B2276" s="2" t="s">
        <v>5448</v>
      </c>
      <c r="C2276" s="2" t="s">
        <v>1325</v>
      </c>
      <c r="D2276" s="2" t="s">
        <v>18</v>
      </c>
      <c r="E2276" s="5">
        <v>-30144</v>
      </c>
      <c r="F2276" s="3" t="s">
        <v>846</v>
      </c>
      <c r="G2276" s="3" t="s">
        <v>77</v>
      </c>
      <c r="H2276" s="2" t="s">
        <v>27</v>
      </c>
      <c r="I2276" s="2" t="s">
        <v>5449</v>
      </c>
      <c r="J2276" s="3" t="str">
        <f>HYPERLINK("https://www.boe.es/gazeta/dias/1817/06/19/pdfs/GMD-1817-73.pdf#page=8","Abrir facsímil")</f>
        <v>Abrir facsímil</v>
      </c>
      <c r="K2276" s="3" t="s">
        <v>29</v>
      </c>
    </row>
    <row r="2277" spans="1:11" ht="42" customHeight="1">
      <c r="A2277" s="2" t="s">
        <v>5450</v>
      </c>
      <c r="B2277" s="2" t="s">
        <v>5451</v>
      </c>
      <c r="C2277" s="2" t="s">
        <v>17</v>
      </c>
      <c r="D2277" s="2" t="s">
        <v>18</v>
      </c>
      <c r="E2277" s="5">
        <v>-30102</v>
      </c>
      <c r="F2277" s="3" t="s">
        <v>502</v>
      </c>
      <c r="G2277" s="3" t="s">
        <v>20</v>
      </c>
      <c r="H2277" s="2" t="s">
        <v>21</v>
      </c>
      <c r="I2277" s="2" t="s">
        <v>5452</v>
      </c>
      <c r="J2277" s="3" t="str">
        <f>HYPERLINK("https://www.boe.es/gazeta/dias/1817/07/31/pdfs/GMD-1817-91.pdf#page=7","Abrir facsímil")</f>
        <v>Abrir facsímil</v>
      </c>
      <c r="K2277" s="3" t="s">
        <v>23</v>
      </c>
    </row>
    <row r="2278" spans="1:11" ht="42" customHeight="1">
      <c r="A2278" s="2" t="s">
        <v>5453</v>
      </c>
      <c r="B2278" s="2" t="s">
        <v>5454</v>
      </c>
      <c r="C2278" s="2" t="s">
        <v>55</v>
      </c>
      <c r="D2278" s="2" t="s">
        <v>44</v>
      </c>
      <c r="E2278" s="5">
        <v>-30072</v>
      </c>
      <c r="F2278" s="3" t="s">
        <v>442</v>
      </c>
      <c r="G2278" s="3" t="s">
        <v>1767</v>
      </c>
      <c r="H2278" s="2" t="s">
        <v>21</v>
      </c>
      <c r="I2278" s="2" t="s">
        <v>5455</v>
      </c>
      <c r="J2278" s="3" t="str">
        <f>HYPERLINK("https://www.boe.es/gazeta/dias/1817/08/30/pdfs/GMD-1817-104.pdf#page=8","Abrir facsímil")</f>
        <v>Abrir facsímil</v>
      </c>
      <c r="K2278" s="3" t="s">
        <v>23</v>
      </c>
    </row>
    <row r="2279" spans="1:11" ht="42" customHeight="1">
      <c r="A2279" s="2" t="s">
        <v>5453</v>
      </c>
      <c r="B2279" s="2" t="s">
        <v>5454</v>
      </c>
      <c r="C2279" s="2" t="s">
        <v>55</v>
      </c>
      <c r="D2279" s="2" t="s">
        <v>44</v>
      </c>
      <c r="E2279" s="5">
        <v>-30060</v>
      </c>
      <c r="F2279" s="3" t="s">
        <v>446</v>
      </c>
      <c r="G2279" s="3" t="s">
        <v>77</v>
      </c>
      <c r="H2279" s="2" t="s">
        <v>21</v>
      </c>
      <c r="I2279" s="2" t="s">
        <v>5456</v>
      </c>
      <c r="J2279" s="3" t="str">
        <f>HYPERLINK("https://www.boe.es/gazeta/dias/1817/09/11/pdfs/GMD-1817-109.pdf#page=8","Abrir facsímil")</f>
        <v>Abrir facsímil</v>
      </c>
      <c r="K2279" s="3" t="s">
        <v>23</v>
      </c>
    </row>
    <row r="2280" spans="1:11" ht="42" customHeight="1">
      <c r="A2280" s="2" t="s">
        <v>5453</v>
      </c>
      <c r="B2280" s="2" t="s">
        <v>5454</v>
      </c>
      <c r="C2280" s="2" t="s">
        <v>55</v>
      </c>
      <c r="D2280" s="2" t="s">
        <v>44</v>
      </c>
      <c r="E2280" s="5">
        <v>-30020</v>
      </c>
      <c r="F2280" s="3" t="s">
        <v>291</v>
      </c>
      <c r="G2280" s="3" t="s">
        <v>2534</v>
      </c>
      <c r="H2280" s="2" t="s">
        <v>21</v>
      </c>
      <c r="I2280" s="2" t="s">
        <v>5457</v>
      </c>
      <c r="J2280" s="3" t="str">
        <f>HYPERLINK("https://www.boe.es/gazeta/dias/1817/10/21/pdfs/GMD-1817-126.pdf#page=8","Abrir facsímil")</f>
        <v>Abrir facsímil</v>
      </c>
      <c r="K2280" s="3" t="s">
        <v>23</v>
      </c>
    </row>
    <row r="2281" spans="1:11" ht="42" customHeight="1">
      <c r="A2281" s="2" t="s">
        <v>5458</v>
      </c>
      <c r="B2281" s="2" t="s">
        <v>5458</v>
      </c>
      <c r="C2281" s="2" t="s">
        <v>36</v>
      </c>
      <c r="D2281" s="2" t="s">
        <v>37</v>
      </c>
      <c r="E2281" s="5">
        <v>-30018</v>
      </c>
      <c r="F2281" s="3" t="s">
        <v>757</v>
      </c>
      <c r="G2281" s="3" t="s">
        <v>551</v>
      </c>
      <c r="H2281" s="2" t="s">
        <v>21</v>
      </c>
      <c r="I2281" s="2" t="s">
        <v>5459</v>
      </c>
      <c r="J2281" s="3" t="str">
        <f>HYPERLINK("https://www.boe.es/gazeta/dias/1817/10/23/pdfs/GMD-1817-127.pdf#page=3","Abrir facsímil")</f>
        <v>Abrir facsímil</v>
      </c>
      <c r="K2281" s="3" t="s">
        <v>23</v>
      </c>
    </row>
    <row r="2282" spans="1:11" ht="42" customHeight="1">
      <c r="A2282" s="2" t="s">
        <v>5460</v>
      </c>
      <c r="B2282" s="2" t="s">
        <v>5460</v>
      </c>
      <c r="C2282" s="2" t="s">
        <v>97</v>
      </c>
      <c r="D2282" s="2" t="s">
        <v>44</v>
      </c>
      <c r="E2282" s="5">
        <v>-30051</v>
      </c>
      <c r="F2282" s="3" t="s">
        <v>26</v>
      </c>
      <c r="G2282" s="3" t="s">
        <v>77</v>
      </c>
      <c r="H2282" s="2" t="s">
        <v>21</v>
      </c>
      <c r="I2282" s="2" t="s">
        <v>5461</v>
      </c>
      <c r="J2282" s="3" t="str">
        <f>HYPERLINK("https://www.boe.es/gazeta/dias/1817/09/20/pdfs/GMD-1817-113.pdf#page=8","Abrir facsímil")</f>
        <v>Abrir facsímil</v>
      </c>
      <c r="K2282" s="3" t="s">
        <v>23</v>
      </c>
    </row>
    <row r="2283" spans="1:11" ht="42" customHeight="1">
      <c r="A2283" s="2" t="s">
        <v>5460</v>
      </c>
      <c r="B2283" s="2" t="s">
        <v>5460</v>
      </c>
      <c r="C2283" s="2" t="s">
        <v>17</v>
      </c>
      <c r="D2283" s="2" t="s">
        <v>18</v>
      </c>
      <c r="E2283" s="5">
        <v>-29976</v>
      </c>
      <c r="F2283" s="3" t="s">
        <v>81</v>
      </c>
      <c r="G2283" s="3" t="s">
        <v>82</v>
      </c>
      <c r="H2283" s="2" t="s">
        <v>21</v>
      </c>
      <c r="I2283" s="2" t="s">
        <v>5462</v>
      </c>
      <c r="J2283" s="3" t="str">
        <f>HYPERLINK("https://www.boe.es/gazeta/dias/1817/12/04/pdfs/GMD-1817-145.pdf#page=12","Abrir facsímil")</f>
        <v>Abrir facsímil</v>
      </c>
      <c r="K2283" s="3" t="s">
        <v>23</v>
      </c>
    </row>
    <row r="2284" spans="1:11" ht="42" customHeight="1">
      <c r="A2284" s="2" t="s">
        <v>5463</v>
      </c>
      <c r="B2284" s="2" t="s">
        <v>5464</v>
      </c>
      <c r="C2284" s="2" t="s">
        <v>43</v>
      </c>
      <c r="D2284" s="2" t="s">
        <v>44</v>
      </c>
      <c r="E2284" s="5">
        <v>-30013</v>
      </c>
      <c r="F2284" s="3" t="s">
        <v>464</v>
      </c>
      <c r="G2284" s="3" t="s">
        <v>39</v>
      </c>
      <c r="H2284" s="2" t="s">
        <v>21</v>
      </c>
      <c r="I2284" s="2" t="s">
        <v>5465</v>
      </c>
      <c r="J2284" s="3" t="str">
        <f>HYPERLINK("https://www.boe.es/gazeta/dias/1817/10/28/pdfs/GMD-1817-129.pdf#page=5","Abrir facsímil")</f>
        <v>Abrir facsímil</v>
      </c>
      <c r="K2284" s="3" t="s">
        <v>23</v>
      </c>
    </row>
    <row r="2285" spans="1:11" ht="42" customHeight="1">
      <c r="A2285" s="2" t="s">
        <v>5466</v>
      </c>
      <c r="B2285" s="2" t="s">
        <v>5467</v>
      </c>
      <c r="C2285" s="2" t="s">
        <v>36</v>
      </c>
      <c r="D2285" s="2" t="s">
        <v>37</v>
      </c>
      <c r="E2285" s="5">
        <v>-30083</v>
      </c>
      <c r="F2285" s="3" t="s">
        <v>1273</v>
      </c>
      <c r="G2285" s="3" t="s">
        <v>20</v>
      </c>
      <c r="H2285" s="2" t="s">
        <v>21</v>
      </c>
      <c r="I2285" s="2" t="s">
        <v>5468</v>
      </c>
      <c r="J2285" s="3" t="str">
        <f>HYPERLINK("https://www.boe.es/gazeta/dias/1817/08/19/pdfs/GMD-1817-99.pdf#page=7","Abrir facsímil")</f>
        <v>Abrir facsímil</v>
      </c>
      <c r="K2285" s="3" t="s">
        <v>23</v>
      </c>
    </row>
    <row r="2286" spans="1:11" ht="42" customHeight="1">
      <c r="A2286" s="2" t="s">
        <v>5469</v>
      </c>
      <c r="B2286" s="2" t="s">
        <v>5470</v>
      </c>
      <c r="C2286" s="2" t="s">
        <v>36</v>
      </c>
      <c r="D2286" s="2" t="s">
        <v>37</v>
      </c>
      <c r="E2286" s="5">
        <v>-30065</v>
      </c>
      <c r="F2286" s="3" t="s">
        <v>201</v>
      </c>
      <c r="G2286" s="3" t="s">
        <v>20</v>
      </c>
      <c r="H2286" s="2" t="s">
        <v>21</v>
      </c>
      <c r="I2286" s="2" t="s">
        <v>5471</v>
      </c>
      <c r="J2286" s="3" t="str">
        <f>HYPERLINK("https://www.boe.es/gazeta/dias/1817/09/06/pdfs/GMD-1817-107.pdf#page=7","Abrir facsímil")</f>
        <v>Abrir facsímil</v>
      </c>
      <c r="K2286" s="3" t="s">
        <v>23</v>
      </c>
    </row>
    <row r="2287" spans="1:11" ht="42" customHeight="1">
      <c r="A2287" s="2" t="s">
        <v>5472</v>
      </c>
      <c r="B2287" s="2" t="s">
        <v>5473</v>
      </c>
      <c r="C2287" s="2" t="s">
        <v>43</v>
      </c>
      <c r="D2287" s="2" t="s">
        <v>44</v>
      </c>
      <c r="E2287" s="5">
        <v>-30079</v>
      </c>
      <c r="F2287" s="3" t="s">
        <v>45</v>
      </c>
      <c r="G2287" s="3" t="s">
        <v>39</v>
      </c>
      <c r="H2287" s="2" t="s">
        <v>21</v>
      </c>
      <c r="I2287" s="2" t="s">
        <v>5474</v>
      </c>
      <c r="J2287" s="3" t="str">
        <f>HYPERLINK("https://www.boe.es/gazeta/dias/1817/08/23/pdfs/GMD-1817-101.pdf#page=5","Abrir facsímil")</f>
        <v>Abrir facsímil</v>
      </c>
      <c r="K2287" s="3" t="s">
        <v>23</v>
      </c>
    </row>
    <row r="2288" spans="1:11" ht="42" customHeight="1">
      <c r="A2288" s="2" t="s">
        <v>5475</v>
      </c>
      <c r="B2288" s="2" t="s">
        <v>5475</v>
      </c>
      <c r="C2288" s="2" t="s">
        <v>17</v>
      </c>
      <c r="D2288" s="2" t="s">
        <v>18</v>
      </c>
      <c r="E2288" s="5">
        <v>-30097</v>
      </c>
      <c r="F2288" s="3" t="s">
        <v>156</v>
      </c>
      <c r="G2288" s="3" t="s">
        <v>5093</v>
      </c>
      <c r="H2288" s="2" t="s">
        <v>21</v>
      </c>
      <c r="I2288" s="2" t="s">
        <v>5476</v>
      </c>
      <c r="J2288" s="3" t="str">
        <f>HYPERLINK("https://www.boe.es/gazeta/dias/1817/08/05/pdfs/GMD-1817-93.pdf#page=3","Abrir facsímil")</f>
        <v>Abrir facsímil</v>
      </c>
      <c r="K2288" s="3" t="s">
        <v>23</v>
      </c>
    </row>
    <row r="2289" spans="1:11" ht="42" customHeight="1">
      <c r="A2289" s="2" t="s">
        <v>5477</v>
      </c>
      <c r="B2289" s="2" t="s">
        <v>5478</v>
      </c>
      <c r="C2289" s="2" t="s">
        <v>36</v>
      </c>
      <c r="D2289" s="2" t="s">
        <v>37</v>
      </c>
      <c r="E2289" s="5">
        <v>-30009</v>
      </c>
      <c r="F2289" s="3" t="s">
        <v>512</v>
      </c>
      <c r="G2289" s="3" t="s">
        <v>2146</v>
      </c>
      <c r="H2289" s="2" t="s">
        <v>27</v>
      </c>
      <c r="I2289" s="2" t="s">
        <v>5479</v>
      </c>
      <c r="J2289" s="3" t="str">
        <f>HYPERLINK("https://www.boe.es/gazeta/dias/1817/11/01/pdfs/GMD-1817-131.pdf#page=3","Abrir facsímil")</f>
        <v>Abrir facsímil</v>
      </c>
      <c r="K2289" s="3" t="s">
        <v>29</v>
      </c>
    </row>
    <row r="2290" spans="1:11" ht="42" customHeight="1">
      <c r="A2290" s="2" t="s">
        <v>5480</v>
      </c>
      <c r="B2290" s="2" t="s">
        <v>5481</v>
      </c>
      <c r="C2290" s="2" t="s">
        <v>36</v>
      </c>
      <c r="D2290" s="2" t="s">
        <v>37</v>
      </c>
      <c r="E2290" s="5">
        <v>-30132</v>
      </c>
      <c r="F2290" s="3" t="s">
        <v>718</v>
      </c>
      <c r="G2290" s="3" t="s">
        <v>77</v>
      </c>
      <c r="H2290" s="2" t="s">
        <v>21</v>
      </c>
      <c r="I2290" s="2" t="s">
        <v>5482</v>
      </c>
      <c r="J2290" s="3" t="str">
        <f>HYPERLINK("https://www.boe.es/gazeta/dias/1817/07/01/pdfs/GMD-1817-78.pdf#page=8","Abrir facsímil")</f>
        <v>Abrir facsímil</v>
      </c>
      <c r="K2290" s="3" t="s">
        <v>23</v>
      </c>
    </row>
    <row r="2291" spans="1:11" ht="42" customHeight="1">
      <c r="A2291" s="2" t="s">
        <v>5480</v>
      </c>
      <c r="B2291" s="2" t="s">
        <v>5481</v>
      </c>
      <c r="C2291" s="2" t="s">
        <v>36</v>
      </c>
      <c r="D2291" s="2" t="s">
        <v>37</v>
      </c>
      <c r="E2291" s="5">
        <v>-30093</v>
      </c>
      <c r="F2291" s="3" t="s">
        <v>230</v>
      </c>
      <c r="G2291" s="3" t="s">
        <v>77</v>
      </c>
      <c r="H2291" s="2" t="s">
        <v>21</v>
      </c>
      <c r="I2291" s="2" t="s">
        <v>5483</v>
      </c>
      <c r="J2291" s="3" t="str">
        <f>HYPERLINK("https://www.boe.es/gazeta/dias/1817/08/09/pdfs/GMD-1817-95.pdf#page=8","Abrir facsímil")</f>
        <v>Abrir facsímil</v>
      </c>
      <c r="K2291" s="3" t="s">
        <v>23</v>
      </c>
    </row>
    <row r="2292" spans="1:11" ht="42" customHeight="1">
      <c r="A2292" s="2" t="s">
        <v>5484</v>
      </c>
      <c r="B2292" s="2" t="s">
        <v>5485</v>
      </c>
      <c r="C2292" s="2" t="s">
        <v>17</v>
      </c>
      <c r="D2292" s="2" t="s">
        <v>18</v>
      </c>
      <c r="E2292" s="5">
        <v>-30242</v>
      </c>
      <c r="F2292" s="3" t="s">
        <v>62</v>
      </c>
      <c r="G2292" s="3" t="s">
        <v>77</v>
      </c>
      <c r="H2292" s="2" t="s">
        <v>21</v>
      </c>
      <c r="I2292" s="2" t="s">
        <v>5486</v>
      </c>
      <c r="J2292" s="3" t="str">
        <f>HYPERLINK("https://www.boe.es/gazeta/dias/1817/03/13/pdfs/GMD-1817-31.pdf#page=8","Abrir facsímil")</f>
        <v>Abrir facsímil</v>
      </c>
      <c r="K2292" s="3" t="s">
        <v>23</v>
      </c>
    </row>
    <row r="2293" spans="1:11" ht="42" customHeight="1">
      <c r="A2293" s="2" t="s">
        <v>5487</v>
      </c>
      <c r="B2293" s="2" t="s">
        <v>5488</v>
      </c>
      <c r="C2293" s="2" t="s">
        <v>36</v>
      </c>
      <c r="D2293" s="2" t="s">
        <v>37</v>
      </c>
      <c r="E2293" s="5">
        <v>-30254</v>
      </c>
      <c r="F2293" s="3" t="s">
        <v>124</v>
      </c>
      <c r="G2293" s="3" t="s">
        <v>3053</v>
      </c>
      <c r="H2293" s="2" t="s">
        <v>21</v>
      </c>
      <c r="I2293" s="2" t="s">
        <v>5489</v>
      </c>
      <c r="J2293" s="3" t="str">
        <f>HYPERLINK("https://www.boe.es/gazeta/dias/1817/03/01/pdfs/GMD-1817-26.pdf#page=8","Abrir facsímil")</f>
        <v>Abrir facsímil</v>
      </c>
      <c r="K2293" s="3" t="s">
        <v>23</v>
      </c>
    </row>
    <row r="2294" spans="1:11" ht="42" customHeight="1">
      <c r="A2294" s="2" t="s">
        <v>5490</v>
      </c>
      <c r="B2294" s="2" t="s">
        <v>5491</v>
      </c>
      <c r="C2294" s="2" t="s">
        <v>49</v>
      </c>
      <c r="D2294" s="2" t="s">
        <v>44</v>
      </c>
      <c r="E2294" s="5">
        <v>-30142</v>
      </c>
      <c r="F2294" s="3" t="s">
        <v>286</v>
      </c>
      <c r="G2294" s="3" t="s">
        <v>144</v>
      </c>
      <c r="H2294" s="2" t="s">
        <v>21</v>
      </c>
      <c r="I2294" s="2" t="s">
        <v>5492</v>
      </c>
      <c r="J2294" s="3" t="str">
        <f>HYPERLINK("https://www.boe.es/gazeta/dias/1817/06/21/pdfs/GMD-1817-74.pdf#page=4","Abrir facsímil")</f>
        <v>Abrir facsímil</v>
      </c>
      <c r="K2294" s="3" t="s">
        <v>23</v>
      </c>
    </row>
    <row r="2295" spans="1:11" ht="42" customHeight="1">
      <c r="A2295" s="2" t="s">
        <v>5493</v>
      </c>
      <c r="B2295" s="2" t="s">
        <v>5493</v>
      </c>
      <c r="C2295" s="2" t="s">
        <v>17</v>
      </c>
      <c r="D2295" s="2" t="s">
        <v>18</v>
      </c>
      <c r="E2295" s="5">
        <v>-30062</v>
      </c>
      <c r="F2295" s="3" t="s">
        <v>444</v>
      </c>
      <c r="G2295" s="3" t="s">
        <v>82</v>
      </c>
      <c r="H2295" s="2" t="s">
        <v>21</v>
      </c>
      <c r="I2295" s="2" t="s">
        <v>5494</v>
      </c>
      <c r="J2295" s="3" t="str">
        <f>HYPERLINK("https://www.boe.es/gazeta/dias/1817/09/09/pdfs/GMD-1817-108.pdf#page=12","Abrir facsímil")</f>
        <v>Abrir facsímil</v>
      </c>
      <c r="K2295" s="3" t="s">
        <v>23</v>
      </c>
    </row>
    <row r="2296" spans="1:11" ht="42" customHeight="1">
      <c r="A2296" s="2" t="s">
        <v>5495</v>
      </c>
      <c r="B2296" s="2" t="s">
        <v>5496</v>
      </c>
      <c r="C2296" s="2" t="s">
        <v>43</v>
      </c>
      <c r="D2296" s="2" t="s">
        <v>44</v>
      </c>
      <c r="E2296" s="5">
        <v>-30013</v>
      </c>
      <c r="F2296" s="3" t="s">
        <v>464</v>
      </c>
      <c r="G2296" s="3" t="s">
        <v>39</v>
      </c>
      <c r="H2296" s="2" t="s">
        <v>21</v>
      </c>
      <c r="I2296" s="2" t="s">
        <v>5497</v>
      </c>
      <c r="J2296" s="3" t="str">
        <f>HYPERLINK("https://www.boe.es/gazeta/dias/1817/10/28/pdfs/GMD-1817-129.pdf#page=5","Abrir facsímil")</f>
        <v>Abrir facsímil</v>
      </c>
      <c r="K2296" s="3" t="s">
        <v>23</v>
      </c>
    </row>
    <row r="2297" spans="1:11" ht="42" customHeight="1">
      <c r="A2297" s="2" t="s">
        <v>5498</v>
      </c>
      <c r="B2297" s="2" t="s">
        <v>5499</v>
      </c>
      <c r="C2297" s="2" t="s">
        <v>43</v>
      </c>
      <c r="D2297" s="2" t="s">
        <v>44</v>
      </c>
      <c r="E2297" s="5">
        <v>-30055</v>
      </c>
      <c r="F2297" s="3" t="s">
        <v>71</v>
      </c>
      <c r="G2297" s="3" t="s">
        <v>82</v>
      </c>
      <c r="H2297" s="2" t="s">
        <v>21</v>
      </c>
      <c r="I2297" s="2" t="s">
        <v>5500</v>
      </c>
      <c r="J2297" s="3" t="str">
        <f>HYPERLINK("https://www.boe.es/gazeta/dias/1817/09/16/pdfs/GMD-1817-111.pdf#page=12","Abrir facsímil")</f>
        <v>Abrir facsímil</v>
      </c>
      <c r="K2297" s="3" t="s">
        <v>23</v>
      </c>
    </row>
    <row r="2298" spans="1:11" ht="42" customHeight="1">
      <c r="A2298" s="2" t="s">
        <v>5501</v>
      </c>
      <c r="B2298" s="2" t="s">
        <v>5502</v>
      </c>
      <c r="C2298" s="2" t="s">
        <v>36</v>
      </c>
      <c r="D2298" s="2" t="s">
        <v>37</v>
      </c>
      <c r="E2298" s="5">
        <v>-30158</v>
      </c>
      <c r="F2298" s="3" t="s">
        <v>305</v>
      </c>
      <c r="G2298" s="3" t="s">
        <v>144</v>
      </c>
      <c r="H2298" s="2" t="s">
        <v>21</v>
      </c>
      <c r="I2298" s="2" t="s">
        <v>5503</v>
      </c>
      <c r="J2298" s="3" t="str">
        <f>HYPERLINK("https://www.boe.es/gazeta/dias/1817/06/05/pdfs/GMD-1817-67.pdf#page=4","Abrir facsímil")</f>
        <v>Abrir facsímil</v>
      </c>
      <c r="K2298" s="3" t="s">
        <v>23</v>
      </c>
    </row>
    <row r="2299" spans="1:11" ht="42" customHeight="1">
      <c r="A2299" s="2" t="s">
        <v>5504</v>
      </c>
      <c r="B2299" s="2" t="s">
        <v>5505</v>
      </c>
      <c r="C2299" s="2" t="s">
        <v>43</v>
      </c>
      <c r="D2299" s="2" t="s">
        <v>44</v>
      </c>
      <c r="E2299" s="5">
        <v>-30079</v>
      </c>
      <c r="F2299" s="3" t="s">
        <v>45</v>
      </c>
      <c r="G2299" s="3" t="s">
        <v>828</v>
      </c>
      <c r="H2299" s="2" t="s">
        <v>21</v>
      </c>
      <c r="I2299" s="2" t="s">
        <v>5506</v>
      </c>
      <c r="J2299" s="3" t="str">
        <f>HYPERLINK("https://www.boe.es/gazeta/dias/1817/08/23/pdfs/GMD-1817-101.pdf#page=4","Abrir facsímil")</f>
        <v>Abrir facsímil</v>
      </c>
      <c r="K2299" s="3" t="s">
        <v>23</v>
      </c>
    </row>
    <row r="2300" spans="1:11" ht="42" customHeight="1">
      <c r="A2300" s="2" t="s">
        <v>5507</v>
      </c>
      <c r="B2300" s="2" t="s">
        <v>5508</v>
      </c>
      <c r="C2300" s="2" t="s">
        <v>36</v>
      </c>
      <c r="D2300" s="2" t="s">
        <v>37</v>
      </c>
      <c r="E2300" s="5">
        <v>-30298</v>
      </c>
      <c r="F2300" s="3" t="s">
        <v>489</v>
      </c>
      <c r="G2300" s="3" t="s">
        <v>644</v>
      </c>
      <c r="H2300" s="2" t="s">
        <v>21</v>
      </c>
      <c r="I2300" s="2" t="s">
        <v>5509</v>
      </c>
      <c r="J2300" s="3" t="str">
        <f>HYPERLINK("https://www.boe.es/gazeta/dias/1817/01/16/pdfs/GMD-1817-7.pdf#page=5","Abrir facsímil")</f>
        <v>Abrir facsímil</v>
      </c>
      <c r="K2300" s="3" t="s">
        <v>23</v>
      </c>
    </row>
    <row r="2301" spans="1:11" ht="42" customHeight="1">
      <c r="A2301" s="2" t="s">
        <v>5510</v>
      </c>
      <c r="B2301" s="2" t="s">
        <v>5511</v>
      </c>
      <c r="C2301" s="2" t="s">
        <v>36</v>
      </c>
      <c r="D2301" s="2" t="s">
        <v>37</v>
      </c>
      <c r="E2301" s="5">
        <v>-30163</v>
      </c>
      <c r="F2301" s="3" t="s">
        <v>166</v>
      </c>
      <c r="G2301" s="3" t="s">
        <v>39</v>
      </c>
      <c r="H2301" s="2" t="s">
        <v>21</v>
      </c>
      <c r="I2301" s="2" t="s">
        <v>5512</v>
      </c>
      <c r="J2301" s="3" t="str">
        <f>HYPERLINK("https://www.boe.es/gazeta/dias/1817/05/31/pdfs/GMD-1817-65.pdf#page=5","Abrir facsímil")</f>
        <v>Abrir facsímil</v>
      </c>
      <c r="K2301" s="3" t="s">
        <v>23</v>
      </c>
    </row>
    <row r="2302" spans="1:11" ht="42" customHeight="1">
      <c r="A2302" s="2" t="s">
        <v>5513</v>
      </c>
      <c r="B2302" s="2" t="s">
        <v>5513</v>
      </c>
      <c r="C2302" s="2" t="s">
        <v>36</v>
      </c>
      <c r="D2302" s="2" t="s">
        <v>37</v>
      </c>
      <c r="E2302" s="5">
        <v>-30065</v>
      </c>
      <c r="F2302" s="3" t="s">
        <v>201</v>
      </c>
      <c r="G2302" s="3" t="s">
        <v>57</v>
      </c>
      <c r="H2302" s="2" t="s">
        <v>21</v>
      </c>
      <c r="I2302" s="2" t="s">
        <v>5514</v>
      </c>
      <c r="J2302" s="3" t="str">
        <f>HYPERLINK("https://www.boe.es/gazeta/dias/1817/09/06/pdfs/GMD-1817-107.pdf#page=6","Abrir facsímil")</f>
        <v>Abrir facsímil</v>
      </c>
      <c r="K2302" s="3" t="s">
        <v>23</v>
      </c>
    </row>
    <row r="2303" spans="1:11" ht="42" customHeight="1">
      <c r="A2303" s="2" t="s">
        <v>5515</v>
      </c>
      <c r="B2303" s="2" t="s">
        <v>5515</v>
      </c>
      <c r="C2303" s="2" t="s">
        <v>43</v>
      </c>
      <c r="D2303" s="2" t="s">
        <v>44</v>
      </c>
      <c r="E2303" s="5">
        <v>-30284</v>
      </c>
      <c r="F2303" s="3" t="s">
        <v>741</v>
      </c>
      <c r="G2303" s="3" t="s">
        <v>20</v>
      </c>
      <c r="H2303" s="2" t="s">
        <v>21</v>
      </c>
      <c r="I2303" s="2" t="s">
        <v>5516</v>
      </c>
      <c r="J2303" s="3" t="str">
        <f>HYPERLINK("https://www.boe.es/gazeta/dias/1817/01/30/pdfs/GMD-1817-13.pdf#page=7","Abrir facsímil")</f>
        <v>Abrir facsímil</v>
      </c>
      <c r="K2303" s="3" t="s">
        <v>23</v>
      </c>
    </row>
    <row r="2304" spans="1:11" ht="42" customHeight="1">
      <c r="A2304" s="2" t="s">
        <v>5515</v>
      </c>
      <c r="B2304" s="2" t="s">
        <v>5515</v>
      </c>
      <c r="C2304" s="2" t="s">
        <v>36</v>
      </c>
      <c r="D2304" s="2" t="s">
        <v>37</v>
      </c>
      <c r="E2304" s="5">
        <v>-30174</v>
      </c>
      <c r="F2304" s="3" t="s">
        <v>19</v>
      </c>
      <c r="G2304" s="3" t="s">
        <v>144</v>
      </c>
      <c r="H2304" s="2" t="s">
        <v>21</v>
      </c>
      <c r="I2304" s="2" t="s">
        <v>5517</v>
      </c>
      <c r="J2304" s="3" t="str">
        <f>HYPERLINK("https://www.boe.es/gazeta/dias/1817/05/20/pdfs/GMD-1817-60.pdf#page=4","Abrir facsímil")</f>
        <v>Abrir facsímil</v>
      </c>
      <c r="K2304" s="3" t="s">
        <v>23</v>
      </c>
    </row>
    <row r="2305" spans="1:11" ht="42" customHeight="1">
      <c r="A2305" s="2" t="s">
        <v>5515</v>
      </c>
      <c r="B2305" s="2" t="s">
        <v>5515</v>
      </c>
      <c r="C2305" s="2" t="s">
        <v>36</v>
      </c>
      <c r="D2305" s="2" t="s">
        <v>37</v>
      </c>
      <c r="E2305" s="5">
        <v>-30149</v>
      </c>
      <c r="F2305" s="3" t="s">
        <v>430</v>
      </c>
      <c r="G2305" s="3" t="s">
        <v>39</v>
      </c>
      <c r="H2305" s="2" t="s">
        <v>21</v>
      </c>
      <c r="I2305" s="2" t="s">
        <v>5518</v>
      </c>
      <c r="J2305" s="3" t="str">
        <f>HYPERLINK("https://www.boe.es/gazeta/dias/1817/06/14/pdfs/GMD-1817-71.pdf#page=5","Abrir facsímil")</f>
        <v>Abrir facsímil</v>
      </c>
      <c r="K2305" s="3" t="s">
        <v>23</v>
      </c>
    </row>
    <row r="2306" spans="1:11" ht="42" customHeight="1">
      <c r="A2306" s="2" t="s">
        <v>5515</v>
      </c>
      <c r="B2306" s="2" t="s">
        <v>5515</v>
      </c>
      <c r="C2306" s="2" t="s">
        <v>49</v>
      </c>
      <c r="D2306" s="2" t="s">
        <v>44</v>
      </c>
      <c r="E2306" s="5">
        <v>-30125</v>
      </c>
      <c r="F2306" s="3" t="s">
        <v>102</v>
      </c>
      <c r="G2306" s="3" t="s">
        <v>103</v>
      </c>
      <c r="H2306" s="2" t="s">
        <v>21</v>
      </c>
      <c r="I2306" s="2" t="s">
        <v>5519</v>
      </c>
      <c r="J2306" s="3" t="str">
        <f>HYPERLINK("https://www.boe.es/gazeta/dias/1817/07/08/pdfs/GMD-1817-81.pdf#page=12","Abrir facsímil")</f>
        <v>Abrir facsímil</v>
      </c>
      <c r="K2306" s="3" t="s">
        <v>23</v>
      </c>
    </row>
    <row r="2307" spans="1:11" ht="42" customHeight="1">
      <c r="A2307" s="2" t="s">
        <v>5515</v>
      </c>
      <c r="B2307" s="2" t="s">
        <v>5515</v>
      </c>
      <c r="C2307" s="2" t="s">
        <v>43</v>
      </c>
      <c r="D2307" s="2" t="s">
        <v>44</v>
      </c>
      <c r="E2307" s="5">
        <v>-30060</v>
      </c>
      <c r="F2307" s="3" t="s">
        <v>446</v>
      </c>
      <c r="G2307" s="3" t="s">
        <v>72</v>
      </c>
      <c r="H2307" s="2" t="s">
        <v>21</v>
      </c>
      <c r="I2307" s="2" t="s">
        <v>5520</v>
      </c>
      <c r="J2307" s="3" t="str">
        <f>HYPERLINK("https://www.boe.es/gazeta/dias/1817/09/11/pdfs/GMD-1817-109.pdf#page=1","Abrir facsímil")</f>
        <v>Abrir facsímil</v>
      </c>
      <c r="K2307" s="3" t="s">
        <v>23</v>
      </c>
    </row>
    <row r="2308" spans="1:11" ht="42" customHeight="1">
      <c r="A2308" s="2" t="s">
        <v>5521</v>
      </c>
      <c r="B2308" s="2" t="s">
        <v>5522</v>
      </c>
      <c r="C2308" s="2" t="s">
        <v>43</v>
      </c>
      <c r="D2308" s="2" t="s">
        <v>44</v>
      </c>
      <c r="E2308" s="5">
        <v>-29992</v>
      </c>
      <c r="F2308" s="3" t="s">
        <v>50</v>
      </c>
      <c r="G2308" s="3" t="s">
        <v>39</v>
      </c>
      <c r="H2308" s="2" t="s">
        <v>21</v>
      </c>
      <c r="I2308" s="2" t="s">
        <v>5523</v>
      </c>
      <c r="J2308" s="3" t="str">
        <f>HYPERLINK("https://www.boe.es/gazeta/dias/1817/11/18/pdfs/GMD-1817-138.pdf#page=5","Abrir facsímil")</f>
        <v>Abrir facsímil</v>
      </c>
      <c r="K2308" s="3" t="s">
        <v>23</v>
      </c>
    </row>
    <row r="2309" spans="1:11" ht="42" customHeight="1">
      <c r="A2309" s="2" t="s">
        <v>5524</v>
      </c>
      <c r="B2309" s="2" t="s">
        <v>5525</v>
      </c>
      <c r="C2309" s="2" t="s">
        <v>138</v>
      </c>
      <c r="D2309" s="2" t="s">
        <v>44</v>
      </c>
      <c r="E2309" s="5">
        <v>-30202</v>
      </c>
      <c r="F2309" s="3" t="s">
        <v>418</v>
      </c>
      <c r="G2309" s="3" t="s">
        <v>20</v>
      </c>
      <c r="H2309" s="2" t="s">
        <v>21</v>
      </c>
      <c r="I2309" s="2" t="s">
        <v>5526</v>
      </c>
      <c r="J2309" s="3" t="str">
        <f>HYPERLINK("https://www.boe.es/gazeta/dias/1817/04/22/pdfs/GMD-1817-48.pdf#page=7","Abrir facsímil")</f>
        <v>Abrir facsímil</v>
      </c>
      <c r="K2309" s="3" t="s">
        <v>23</v>
      </c>
    </row>
    <row r="2310" spans="1:11" ht="42" customHeight="1">
      <c r="A2310" s="2" t="s">
        <v>5524</v>
      </c>
      <c r="B2310" s="2" t="s">
        <v>5525</v>
      </c>
      <c r="C2310" s="2" t="s">
        <v>43</v>
      </c>
      <c r="D2310" s="2" t="s">
        <v>44</v>
      </c>
      <c r="E2310" s="5">
        <v>-30067</v>
      </c>
      <c r="F2310" s="3" t="s">
        <v>1221</v>
      </c>
      <c r="G2310" s="3" t="s">
        <v>39</v>
      </c>
      <c r="H2310" s="2" t="s">
        <v>21</v>
      </c>
      <c r="I2310" s="2" t="s">
        <v>5527</v>
      </c>
      <c r="J2310" s="3" t="str">
        <f>HYPERLINK("https://www.boe.es/gazeta/dias/1817/09/04/pdfs/GMD-1817-106.pdf#page=5","Abrir facsímil")</f>
        <v>Abrir facsímil</v>
      </c>
      <c r="K2310" s="3" t="s">
        <v>23</v>
      </c>
    </row>
    <row r="2311" spans="1:11" ht="42" customHeight="1">
      <c r="A2311" s="2" t="s">
        <v>5524</v>
      </c>
      <c r="B2311" s="2" t="s">
        <v>5525</v>
      </c>
      <c r="C2311" s="2" t="s">
        <v>17</v>
      </c>
      <c r="D2311" s="2" t="s">
        <v>18</v>
      </c>
      <c r="E2311" s="5">
        <v>-29960</v>
      </c>
      <c r="F2311" s="3" t="s">
        <v>657</v>
      </c>
      <c r="G2311" s="3" t="s">
        <v>20</v>
      </c>
      <c r="H2311" s="2" t="s">
        <v>21</v>
      </c>
      <c r="I2311" s="2" t="s">
        <v>5528</v>
      </c>
      <c r="J2311" s="3" t="str">
        <f>HYPERLINK("https://www.boe.es/gazeta/dias/1817/12/20/pdfs/GMD-1817-152.pdf#page=7","Abrir facsímil")</f>
        <v>Abrir facsímil</v>
      </c>
      <c r="K2311" s="3" t="s">
        <v>23</v>
      </c>
    </row>
    <row r="2312" spans="1:11" ht="42" customHeight="1">
      <c r="A2312" s="2" t="s">
        <v>5529</v>
      </c>
      <c r="B2312" s="2" t="s">
        <v>5530</v>
      </c>
      <c r="C2312" s="2" t="s">
        <v>43</v>
      </c>
      <c r="D2312" s="2" t="s">
        <v>44</v>
      </c>
      <c r="E2312" s="5">
        <v>-30069</v>
      </c>
      <c r="F2312" s="3" t="s">
        <v>817</v>
      </c>
      <c r="G2312" s="3" t="s">
        <v>39</v>
      </c>
      <c r="H2312" s="2" t="s">
        <v>21</v>
      </c>
      <c r="I2312" s="2" t="s">
        <v>5531</v>
      </c>
      <c r="J2312" s="3" t="str">
        <f>HYPERLINK("https://www.boe.es/gazeta/dias/1817/09/02/pdfs/GMD-1817-105.pdf#page=5","Abrir facsímil")</f>
        <v>Abrir facsímil</v>
      </c>
      <c r="K2312" s="3" t="s">
        <v>23</v>
      </c>
    </row>
    <row r="2313" spans="1:11" ht="42" customHeight="1">
      <c r="A2313" s="2" t="s">
        <v>5529</v>
      </c>
      <c r="B2313" s="2" t="s">
        <v>5530</v>
      </c>
      <c r="C2313" s="2" t="s">
        <v>43</v>
      </c>
      <c r="D2313" s="2" t="s">
        <v>44</v>
      </c>
      <c r="E2313" s="5">
        <v>-30067</v>
      </c>
      <c r="F2313" s="3" t="s">
        <v>1221</v>
      </c>
      <c r="G2313" s="3" t="s">
        <v>39</v>
      </c>
      <c r="H2313" s="2" t="s">
        <v>21</v>
      </c>
      <c r="I2313" s="2" t="s">
        <v>5532</v>
      </c>
      <c r="J2313" s="3" t="str">
        <f>HYPERLINK("https://www.boe.es/gazeta/dias/1817/09/04/pdfs/GMD-1817-106.pdf#page=5","Abrir facsímil")</f>
        <v>Abrir facsímil</v>
      </c>
      <c r="K2313" s="3" t="s">
        <v>23</v>
      </c>
    </row>
    <row r="2314" spans="1:11" ht="42" customHeight="1">
      <c r="A2314" s="2" t="s">
        <v>5529</v>
      </c>
      <c r="B2314" s="2" t="s">
        <v>5530</v>
      </c>
      <c r="C2314" s="2" t="s">
        <v>17</v>
      </c>
      <c r="D2314" s="2" t="s">
        <v>18</v>
      </c>
      <c r="E2314" s="5">
        <v>-30065</v>
      </c>
      <c r="F2314" s="3" t="s">
        <v>201</v>
      </c>
      <c r="G2314" s="3" t="s">
        <v>4554</v>
      </c>
      <c r="H2314" s="2" t="s">
        <v>21</v>
      </c>
      <c r="I2314" s="2" t="s">
        <v>5533</v>
      </c>
      <c r="J2314" s="3" t="str">
        <f>HYPERLINK("https://www.boe.es/gazeta/dias/1817/09/06/pdfs/GMD-1817-107.pdf#page=5","Abrir facsímil")</f>
        <v>Abrir facsímil</v>
      </c>
      <c r="K2314" s="3" t="s">
        <v>23</v>
      </c>
    </row>
    <row r="2315" spans="1:11" ht="42" customHeight="1">
      <c r="A2315" s="2" t="s">
        <v>5529</v>
      </c>
      <c r="B2315" s="2" t="s">
        <v>5530</v>
      </c>
      <c r="C2315" s="2" t="s">
        <v>43</v>
      </c>
      <c r="D2315" s="2" t="s">
        <v>44</v>
      </c>
      <c r="E2315" s="5">
        <v>-30065</v>
      </c>
      <c r="F2315" s="3" t="s">
        <v>201</v>
      </c>
      <c r="G2315" s="3" t="s">
        <v>144</v>
      </c>
      <c r="H2315" s="2" t="s">
        <v>21</v>
      </c>
      <c r="I2315" s="2" t="s">
        <v>5534</v>
      </c>
      <c r="J2315" s="3" t="str">
        <f>HYPERLINK("https://www.boe.es/gazeta/dias/1817/09/06/pdfs/GMD-1817-107.pdf#page=4","Abrir facsímil")</f>
        <v>Abrir facsímil</v>
      </c>
      <c r="K2315" s="3" t="s">
        <v>23</v>
      </c>
    </row>
    <row r="2316" spans="1:11" ht="42" customHeight="1">
      <c r="A2316" s="2" t="s">
        <v>5529</v>
      </c>
      <c r="B2316" s="2" t="s">
        <v>5530</v>
      </c>
      <c r="C2316" s="2" t="s">
        <v>43</v>
      </c>
      <c r="D2316" s="2" t="s">
        <v>44</v>
      </c>
      <c r="E2316" s="5">
        <v>-30062</v>
      </c>
      <c r="F2316" s="3" t="s">
        <v>444</v>
      </c>
      <c r="G2316" s="3" t="s">
        <v>57</v>
      </c>
      <c r="H2316" s="2" t="s">
        <v>21</v>
      </c>
      <c r="I2316" s="2" t="s">
        <v>5535</v>
      </c>
      <c r="J2316" s="3" t="str">
        <f>HYPERLINK("https://www.boe.es/gazeta/dias/1817/09/09/pdfs/GMD-1817-108.pdf#page=6","Abrir facsímil")</f>
        <v>Abrir facsímil</v>
      </c>
      <c r="K2316" s="3" t="s">
        <v>23</v>
      </c>
    </row>
    <row r="2317" spans="1:11" ht="42" customHeight="1">
      <c r="A2317" s="2" t="s">
        <v>5529</v>
      </c>
      <c r="B2317" s="2" t="s">
        <v>5530</v>
      </c>
      <c r="C2317" s="2" t="s">
        <v>17</v>
      </c>
      <c r="D2317" s="2" t="s">
        <v>18</v>
      </c>
      <c r="E2317" s="5">
        <v>-30060</v>
      </c>
      <c r="F2317" s="3" t="s">
        <v>446</v>
      </c>
      <c r="G2317" s="3" t="s">
        <v>39</v>
      </c>
      <c r="H2317" s="2" t="s">
        <v>21</v>
      </c>
      <c r="I2317" s="2" t="s">
        <v>5536</v>
      </c>
      <c r="J2317" s="3" t="str">
        <f>HYPERLINK("https://www.boe.es/gazeta/dias/1817/09/11/pdfs/GMD-1817-109.pdf#page=5","Abrir facsímil")</f>
        <v>Abrir facsímil</v>
      </c>
      <c r="K2317" s="3" t="s">
        <v>23</v>
      </c>
    </row>
    <row r="2318" spans="1:11" ht="42" customHeight="1">
      <c r="A2318" s="2" t="s">
        <v>5529</v>
      </c>
      <c r="B2318" s="2" t="s">
        <v>5530</v>
      </c>
      <c r="C2318" s="2" t="s">
        <v>43</v>
      </c>
      <c r="D2318" s="2" t="s">
        <v>44</v>
      </c>
      <c r="E2318" s="5">
        <v>-30058</v>
      </c>
      <c r="F2318" s="3" t="s">
        <v>1385</v>
      </c>
      <c r="G2318" s="3" t="s">
        <v>5537</v>
      </c>
      <c r="H2318" s="2" t="s">
        <v>21</v>
      </c>
      <c r="I2318" s="2" t="s">
        <v>5538</v>
      </c>
      <c r="J2318" s="3" t="str">
        <f>HYPERLINK("https://www.boe.es/gazeta/dias/1817/09/13/pdfs/GMD-1817-110.pdf#page=5","Abrir facsímil")</f>
        <v>Abrir facsímil</v>
      </c>
      <c r="K2318" s="3" t="s">
        <v>23</v>
      </c>
    </row>
    <row r="2319" spans="1:11" ht="42" customHeight="1">
      <c r="A2319" s="2" t="s">
        <v>5529</v>
      </c>
      <c r="B2319" s="2" t="s">
        <v>5530</v>
      </c>
      <c r="C2319" s="2" t="s">
        <v>43</v>
      </c>
      <c r="D2319" s="2" t="s">
        <v>44</v>
      </c>
      <c r="E2319" s="5">
        <v>-30055</v>
      </c>
      <c r="F2319" s="3" t="s">
        <v>71</v>
      </c>
      <c r="G2319" s="3" t="s">
        <v>144</v>
      </c>
      <c r="H2319" s="2" t="s">
        <v>21</v>
      </c>
      <c r="I2319" s="2" t="s">
        <v>5539</v>
      </c>
      <c r="J2319" s="3" t="str">
        <f>HYPERLINK("https://www.boe.es/gazeta/dias/1817/09/16/pdfs/GMD-1817-111.pdf#page=4","Abrir facsímil")</f>
        <v>Abrir facsímil</v>
      </c>
      <c r="K2319" s="3" t="s">
        <v>23</v>
      </c>
    </row>
    <row r="2320" spans="1:11" ht="42" customHeight="1">
      <c r="A2320" s="2" t="s">
        <v>5529</v>
      </c>
      <c r="B2320" s="2" t="s">
        <v>5530</v>
      </c>
      <c r="C2320" s="2" t="s">
        <v>43</v>
      </c>
      <c r="D2320" s="2" t="s">
        <v>44</v>
      </c>
      <c r="E2320" s="5">
        <v>-30037</v>
      </c>
      <c r="F2320" s="3" t="s">
        <v>453</v>
      </c>
      <c r="G2320" s="3" t="s">
        <v>1897</v>
      </c>
      <c r="H2320" s="2" t="s">
        <v>21</v>
      </c>
      <c r="I2320" s="2" t="s">
        <v>5540</v>
      </c>
      <c r="J2320" s="3" t="str">
        <f>HYPERLINK("https://www.boe.es/gazeta/dias/1817/10/04/pdfs/GMD-1817-119.pdf#page=4","Abrir facsímil")</f>
        <v>Abrir facsímil</v>
      </c>
      <c r="K2320" s="3" t="s">
        <v>23</v>
      </c>
    </row>
    <row r="2321" spans="1:11" ht="42" customHeight="1">
      <c r="A2321" s="2" t="s">
        <v>5529</v>
      </c>
      <c r="B2321" s="2" t="s">
        <v>5530</v>
      </c>
      <c r="C2321" s="2" t="s">
        <v>43</v>
      </c>
      <c r="D2321" s="2" t="s">
        <v>44</v>
      </c>
      <c r="E2321" s="5">
        <v>-30034</v>
      </c>
      <c r="F2321" s="3" t="s">
        <v>270</v>
      </c>
      <c r="G2321" s="3" t="s">
        <v>144</v>
      </c>
      <c r="H2321" s="2" t="s">
        <v>21</v>
      </c>
      <c r="I2321" s="2" t="s">
        <v>5541</v>
      </c>
      <c r="J2321" s="3" t="str">
        <f>HYPERLINK("https://www.boe.es/gazeta/dias/1817/10/07/pdfs/GMD-1817-120.pdf#page=4","Abrir facsímil")</f>
        <v>Abrir facsímil</v>
      </c>
      <c r="K2321" s="3" t="s">
        <v>23</v>
      </c>
    </row>
    <row r="2322" spans="1:11" ht="42" customHeight="1">
      <c r="A2322" s="2" t="s">
        <v>5529</v>
      </c>
      <c r="B2322" s="2" t="s">
        <v>5530</v>
      </c>
      <c r="C2322" s="2" t="s">
        <v>17</v>
      </c>
      <c r="D2322" s="2" t="s">
        <v>18</v>
      </c>
      <c r="E2322" s="5">
        <v>-30016</v>
      </c>
      <c r="F2322" s="3" t="s">
        <v>2582</v>
      </c>
      <c r="G2322" s="3" t="s">
        <v>144</v>
      </c>
      <c r="H2322" s="2" t="s">
        <v>21</v>
      </c>
      <c r="I2322" s="2" t="s">
        <v>5542</v>
      </c>
      <c r="J2322" s="3" t="str">
        <f>HYPERLINK("https://www.boe.es/gazeta/dias/1817/10/25/pdfs/GMD-1817-128.pdf#page=4","Abrir facsímil")</f>
        <v>Abrir facsímil</v>
      </c>
      <c r="K2322" s="3" t="s">
        <v>23</v>
      </c>
    </row>
    <row r="2323" spans="1:11" ht="42" customHeight="1">
      <c r="A2323" s="2" t="s">
        <v>5529</v>
      </c>
      <c r="B2323" s="2" t="s">
        <v>5530</v>
      </c>
      <c r="C2323" s="2" t="s">
        <v>36</v>
      </c>
      <c r="D2323" s="2" t="s">
        <v>37</v>
      </c>
      <c r="E2323" s="5">
        <v>-30013</v>
      </c>
      <c r="F2323" s="3" t="s">
        <v>464</v>
      </c>
      <c r="G2323" s="3" t="s">
        <v>39</v>
      </c>
      <c r="H2323" s="2" t="s">
        <v>21</v>
      </c>
      <c r="I2323" s="2" t="s">
        <v>5543</v>
      </c>
      <c r="J2323" s="3" t="str">
        <f>HYPERLINK("https://www.boe.es/gazeta/dias/1817/10/28/pdfs/GMD-1817-129.pdf#page=5","Abrir facsímil")</f>
        <v>Abrir facsímil</v>
      </c>
      <c r="K2323" s="3" t="s">
        <v>23</v>
      </c>
    </row>
    <row r="2324" spans="1:11" ht="42" customHeight="1">
      <c r="A2324" s="2" t="s">
        <v>5529</v>
      </c>
      <c r="B2324" s="2" t="s">
        <v>5530</v>
      </c>
      <c r="C2324" s="2" t="s">
        <v>43</v>
      </c>
      <c r="D2324" s="2" t="s">
        <v>44</v>
      </c>
      <c r="E2324" s="5">
        <v>-30009</v>
      </c>
      <c r="F2324" s="3" t="s">
        <v>512</v>
      </c>
      <c r="G2324" s="3" t="s">
        <v>144</v>
      </c>
      <c r="H2324" s="2" t="s">
        <v>21</v>
      </c>
      <c r="I2324" s="2" t="s">
        <v>5544</v>
      </c>
      <c r="J2324" s="3" t="str">
        <f>HYPERLINK("https://www.boe.es/gazeta/dias/1817/11/01/pdfs/GMD-1817-131.pdf#page=4","Abrir facsímil")</f>
        <v>Abrir facsímil</v>
      </c>
      <c r="K2324" s="3" t="s">
        <v>23</v>
      </c>
    </row>
    <row r="2325" spans="1:11" ht="42" customHeight="1">
      <c r="A2325" s="2" t="s">
        <v>5529</v>
      </c>
      <c r="B2325" s="2" t="s">
        <v>5530</v>
      </c>
      <c r="C2325" s="2" t="s">
        <v>43</v>
      </c>
      <c r="D2325" s="2" t="s">
        <v>44</v>
      </c>
      <c r="E2325" s="5">
        <v>-30002</v>
      </c>
      <c r="F2325" s="3" t="s">
        <v>469</v>
      </c>
      <c r="G2325" s="3" t="s">
        <v>144</v>
      </c>
      <c r="H2325" s="2" t="s">
        <v>21</v>
      </c>
      <c r="I2325" s="2" t="s">
        <v>5545</v>
      </c>
      <c r="J2325" s="3" t="str">
        <f>HYPERLINK("https://www.boe.es/gazeta/dias/1817/11/08/pdfs/GMD-1817-134.pdf#page=4","Abrir facsímil")</f>
        <v>Abrir facsímil</v>
      </c>
      <c r="K2325" s="3" t="s">
        <v>23</v>
      </c>
    </row>
    <row r="2326" spans="1:11" ht="42" customHeight="1">
      <c r="A2326" s="2" t="s">
        <v>5529</v>
      </c>
      <c r="B2326" s="2" t="s">
        <v>5530</v>
      </c>
      <c r="C2326" s="2" t="s">
        <v>36</v>
      </c>
      <c r="D2326" s="2" t="s">
        <v>37</v>
      </c>
      <c r="E2326" s="5">
        <v>-29976</v>
      </c>
      <c r="F2326" s="3" t="s">
        <v>81</v>
      </c>
      <c r="G2326" s="3" t="s">
        <v>112</v>
      </c>
      <c r="H2326" s="2" t="s">
        <v>21</v>
      </c>
      <c r="I2326" s="2" t="s">
        <v>5546</v>
      </c>
      <c r="J2326" s="3" t="str">
        <f>HYPERLINK("https://www.boe.es/gazeta/dias/1817/12/04/pdfs/GMD-1817-145.pdf#page=11","Abrir facsímil")</f>
        <v>Abrir facsímil</v>
      </c>
      <c r="K2326" s="3" t="s">
        <v>23</v>
      </c>
    </row>
    <row r="2327" spans="1:11" ht="42" customHeight="1">
      <c r="A2327" s="2" t="s">
        <v>5547</v>
      </c>
      <c r="B2327" s="2" t="s">
        <v>5548</v>
      </c>
      <c r="C2327" s="2" t="s">
        <v>36</v>
      </c>
      <c r="D2327" s="2" t="s">
        <v>37</v>
      </c>
      <c r="E2327" s="5">
        <v>-30011</v>
      </c>
      <c r="F2327" s="3" t="s">
        <v>313</v>
      </c>
      <c r="G2327" s="3" t="s">
        <v>1736</v>
      </c>
      <c r="H2327" s="2" t="s">
        <v>21</v>
      </c>
      <c r="I2327" s="2" t="s">
        <v>5549</v>
      </c>
      <c r="J2327" s="3" t="str">
        <f>HYPERLINK("https://www.boe.es/gazeta/dias/1817/10/30/pdfs/GMD-1817-130.pdf#page=11","Abrir facsímil")</f>
        <v>Abrir facsímil</v>
      </c>
      <c r="K2327" s="3" t="s">
        <v>23</v>
      </c>
    </row>
    <row r="2328" spans="1:11" ht="42" customHeight="1">
      <c r="A2328" s="2" t="s">
        <v>5550</v>
      </c>
      <c r="B2328" s="2" t="s">
        <v>5551</v>
      </c>
      <c r="C2328" s="2" t="s">
        <v>36</v>
      </c>
      <c r="D2328" s="2" t="s">
        <v>37</v>
      </c>
      <c r="E2328" s="5">
        <v>-30032</v>
      </c>
      <c r="F2328" s="3" t="s">
        <v>337</v>
      </c>
      <c r="G2328" s="3" t="s">
        <v>144</v>
      </c>
      <c r="H2328" s="2" t="s">
        <v>21</v>
      </c>
      <c r="I2328" s="2" t="s">
        <v>5552</v>
      </c>
      <c r="J2328" s="3" t="str">
        <f>HYPERLINK("https://www.boe.es/gazeta/dias/1817/10/09/pdfs/GMD-1817-121.pdf#page=4","Abrir facsímil")</f>
        <v>Abrir facsímil</v>
      </c>
      <c r="K2328" s="3" t="s">
        <v>23</v>
      </c>
    </row>
    <row r="2329" spans="1:11" ht="42" customHeight="1">
      <c r="A2329" s="2" t="s">
        <v>5553</v>
      </c>
      <c r="B2329" s="2" t="s">
        <v>5554</v>
      </c>
      <c r="C2329" s="2" t="s">
        <v>36</v>
      </c>
      <c r="D2329" s="2" t="s">
        <v>37</v>
      </c>
      <c r="E2329" s="5">
        <v>-29978</v>
      </c>
      <c r="F2329" s="3" t="s">
        <v>478</v>
      </c>
      <c r="G2329" s="3" t="s">
        <v>82</v>
      </c>
      <c r="H2329" s="2" t="s">
        <v>21</v>
      </c>
      <c r="I2329" s="2" t="s">
        <v>5555</v>
      </c>
      <c r="J2329" s="3" t="str">
        <f>HYPERLINK("https://www.boe.es/gazeta/dias/1817/12/02/pdfs/GMD-1817-144.pdf#page=12","Abrir facsímil")</f>
        <v>Abrir facsímil</v>
      </c>
      <c r="K2329" s="3" t="s">
        <v>23</v>
      </c>
    </row>
    <row r="2330" spans="1:11" ht="42" customHeight="1">
      <c r="A2330" s="2" t="s">
        <v>5556</v>
      </c>
      <c r="B2330" s="2" t="s">
        <v>5557</v>
      </c>
      <c r="C2330" s="2" t="s">
        <v>36</v>
      </c>
      <c r="D2330" s="2" t="s">
        <v>37</v>
      </c>
      <c r="E2330" s="5">
        <v>-30188</v>
      </c>
      <c r="F2330" s="3" t="s">
        <v>177</v>
      </c>
      <c r="G2330" s="3" t="s">
        <v>144</v>
      </c>
      <c r="H2330" s="2" t="s">
        <v>21</v>
      </c>
      <c r="I2330" s="2" t="s">
        <v>5558</v>
      </c>
      <c r="J2330" s="3" t="str">
        <f>HYPERLINK("https://www.boe.es/gazeta/dias/1817/05/06/pdfs/GMD-1817-54.pdf#page=4","Abrir facsímil")</f>
        <v>Abrir facsímil</v>
      </c>
      <c r="K2330" s="3" t="s">
        <v>23</v>
      </c>
    </row>
    <row r="2331" spans="1:11" ht="42" customHeight="1">
      <c r="A2331" s="2" t="s">
        <v>5559</v>
      </c>
      <c r="B2331" s="2" t="s">
        <v>5560</v>
      </c>
      <c r="C2331" s="2" t="s">
        <v>36</v>
      </c>
      <c r="D2331" s="2" t="s">
        <v>37</v>
      </c>
      <c r="E2331" s="5">
        <v>-30125</v>
      </c>
      <c r="F2331" s="3" t="s">
        <v>102</v>
      </c>
      <c r="G2331" s="3" t="s">
        <v>112</v>
      </c>
      <c r="H2331" s="2" t="s">
        <v>21</v>
      </c>
      <c r="I2331" s="2" t="s">
        <v>5561</v>
      </c>
      <c r="J2331" s="3" t="str">
        <f>HYPERLINK("https://www.boe.es/gazeta/dias/1817/07/08/pdfs/GMD-1817-81.pdf#page=11","Abrir facsímil")</f>
        <v>Abrir facsímil</v>
      </c>
      <c r="K2331" s="3" t="s">
        <v>23</v>
      </c>
    </row>
    <row r="2332" spans="1:11" ht="42" customHeight="1">
      <c r="A2332" s="2" t="s">
        <v>5562</v>
      </c>
      <c r="B2332" s="2" t="s">
        <v>5563</v>
      </c>
      <c r="C2332" s="2" t="s">
        <v>36</v>
      </c>
      <c r="D2332" s="2" t="s">
        <v>37</v>
      </c>
      <c r="E2332" s="5">
        <v>-30160</v>
      </c>
      <c r="F2332" s="3" t="s">
        <v>116</v>
      </c>
      <c r="G2332" s="3" t="s">
        <v>144</v>
      </c>
      <c r="H2332" s="2" t="s">
        <v>21</v>
      </c>
      <c r="I2332" s="2" t="s">
        <v>5564</v>
      </c>
      <c r="J2332" s="3" t="str">
        <f>HYPERLINK("https://www.boe.es/gazeta/dias/1817/06/03/pdfs/GMD-1817-66.pdf#page=4","Abrir facsímil")</f>
        <v>Abrir facsímil</v>
      </c>
      <c r="K2332" s="3" t="s">
        <v>23</v>
      </c>
    </row>
    <row r="2333" spans="1:11" ht="42" customHeight="1">
      <c r="A2333" s="2" t="s">
        <v>5562</v>
      </c>
      <c r="B2333" s="2" t="s">
        <v>5563</v>
      </c>
      <c r="C2333" s="2" t="s">
        <v>36</v>
      </c>
      <c r="D2333" s="2" t="s">
        <v>37</v>
      </c>
      <c r="E2333" s="5">
        <v>-30160</v>
      </c>
      <c r="F2333" s="3" t="s">
        <v>116</v>
      </c>
      <c r="G2333" s="3" t="s">
        <v>39</v>
      </c>
      <c r="H2333" s="2" t="s">
        <v>21</v>
      </c>
      <c r="I2333" s="2" t="s">
        <v>5565</v>
      </c>
      <c r="J2333" s="3" t="str">
        <f>HYPERLINK("https://www.boe.es/gazeta/dias/1817/06/03/pdfs/GMD-1817-66.pdf#page=5","Abrir facsímil")</f>
        <v>Abrir facsímil</v>
      </c>
      <c r="K2333" s="3" t="s">
        <v>23</v>
      </c>
    </row>
    <row r="2334" spans="1:11" ht="42" customHeight="1">
      <c r="A2334" s="2" t="s">
        <v>5566</v>
      </c>
      <c r="B2334" s="2" t="s">
        <v>5567</v>
      </c>
      <c r="C2334" s="2" t="s">
        <v>36</v>
      </c>
      <c r="D2334" s="2" t="s">
        <v>37</v>
      </c>
      <c r="E2334" s="5">
        <v>-30160</v>
      </c>
      <c r="F2334" s="3" t="s">
        <v>116</v>
      </c>
      <c r="G2334" s="3" t="s">
        <v>144</v>
      </c>
      <c r="H2334" s="2" t="s">
        <v>21</v>
      </c>
      <c r="I2334" s="2" t="s">
        <v>5568</v>
      </c>
      <c r="J2334" s="3" t="str">
        <f>HYPERLINK("https://www.boe.es/gazeta/dias/1817/06/03/pdfs/GMD-1817-66.pdf#page=4","Abrir facsímil")</f>
        <v>Abrir facsímil</v>
      </c>
      <c r="K2334" s="3" t="s">
        <v>23</v>
      </c>
    </row>
    <row r="2335" spans="1:11" ht="42" customHeight="1">
      <c r="A2335" s="2" t="s">
        <v>5566</v>
      </c>
      <c r="B2335" s="2" t="s">
        <v>5567</v>
      </c>
      <c r="C2335" s="2" t="s">
        <v>36</v>
      </c>
      <c r="D2335" s="2" t="s">
        <v>37</v>
      </c>
      <c r="E2335" s="5">
        <v>-30156</v>
      </c>
      <c r="F2335" s="3" t="s">
        <v>635</v>
      </c>
      <c r="G2335" s="3" t="s">
        <v>39</v>
      </c>
      <c r="H2335" s="2" t="s">
        <v>21</v>
      </c>
      <c r="I2335" s="2" t="s">
        <v>5569</v>
      </c>
      <c r="J2335" s="3" t="str">
        <f>HYPERLINK("https://www.boe.es/gazeta/dias/1817/06/07/pdfs/GMD-1817-68.pdf#page=5","Abrir facsímil")</f>
        <v>Abrir facsímil</v>
      </c>
      <c r="K2335" s="3" t="s">
        <v>23</v>
      </c>
    </row>
    <row r="2336" spans="1:11" ht="42" customHeight="1">
      <c r="A2336" s="2" t="s">
        <v>5566</v>
      </c>
      <c r="B2336" s="2" t="s">
        <v>5567</v>
      </c>
      <c r="C2336" s="2" t="s">
        <v>36</v>
      </c>
      <c r="D2336" s="2" t="s">
        <v>37</v>
      </c>
      <c r="E2336" s="5">
        <v>-30153</v>
      </c>
      <c r="F2336" s="3" t="s">
        <v>843</v>
      </c>
      <c r="G2336" s="3" t="s">
        <v>3643</v>
      </c>
      <c r="H2336" s="2" t="s">
        <v>21</v>
      </c>
      <c r="I2336" s="2" t="s">
        <v>5570</v>
      </c>
      <c r="J2336" s="3" t="str">
        <f>HYPERLINK("https://www.boe.es/gazeta/dias/1817/06/10/pdfs/GMD-1817-69.pdf#page=4","Abrir facsímil")</f>
        <v>Abrir facsímil</v>
      </c>
      <c r="K2336" s="3" t="s">
        <v>23</v>
      </c>
    </row>
    <row r="2337" spans="1:11" ht="42" customHeight="1">
      <c r="A2337" s="2" t="s">
        <v>5571</v>
      </c>
      <c r="B2337" s="2" t="s">
        <v>5572</v>
      </c>
      <c r="C2337" s="2" t="s">
        <v>17</v>
      </c>
      <c r="D2337" s="2" t="s">
        <v>18</v>
      </c>
      <c r="E2337" s="5">
        <v>-30284</v>
      </c>
      <c r="F2337" s="3" t="s">
        <v>741</v>
      </c>
      <c r="G2337" s="3" t="s">
        <v>742</v>
      </c>
      <c r="H2337" s="2" t="s">
        <v>27</v>
      </c>
      <c r="I2337" s="2" t="s">
        <v>5573</v>
      </c>
      <c r="J2337" s="3" t="str">
        <f>HYPERLINK("https://www.boe.es/gazeta/dias/1817/01/30/pdfs/GMD-1817-13.pdf#page=4","Abrir facsímil")</f>
        <v>Abrir facsímil</v>
      </c>
      <c r="K2337" s="3" t="s">
        <v>29</v>
      </c>
    </row>
    <row r="2338" spans="1:11" ht="42" customHeight="1">
      <c r="A2338" s="2" t="s">
        <v>5574</v>
      </c>
      <c r="B2338" s="2" t="s">
        <v>5575</v>
      </c>
      <c r="C2338" s="2" t="s">
        <v>36</v>
      </c>
      <c r="D2338" s="2" t="s">
        <v>37</v>
      </c>
      <c r="E2338" s="5">
        <v>-30009</v>
      </c>
      <c r="F2338" s="3" t="s">
        <v>512</v>
      </c>
      <c r="G2338" s="3" t="s">
        <v>2146</v>
      </c>
      <c r="H2338" s="2" t="s">
        <v>27</v>
      </c>
      <c r="I2338" s="2" t="s">
        <v>5576</v>
      </c>
      <c r="J2338" s="3" t="str">
        <f>HYPERLINK("https://www.boe.es/gazeta/dias/1817/11/01/pdfs/GMD-1817-131.pdf#page=3","Abrir facsímil")</f>
        <v>Abrir facsímil</v>
      </c>
      <c r="K2338" s="3" t="s">
        <v>29</v>
      </c>
    </row>
    <row r="2339" spans="1:11" ht="42" customHeight="1">
      <c r="A2339" s="2" t="s">
        <v>5577</v>
      </c>
      <c r="B2339" s="2" t="s">
        <v>5578</v>
      </c>
      <c r="C2339" s="2" t="s">
        <v>17</v>
      </c>
      <c r="D2339" s="2" t="s">
        <v>18</v>
      </c>
      <c r="E2339" s="5">
        <v>-29995</v>
      </c>
      <c r="F2339" s="3" t="s">
        <v>514</v>
      </c>
      <c r="G2339" s="3" t="s">
        <v>72</v>
      </c>
      <c r="H2339" s="2" t="s">
        <v>27</v>
      </c>
      <c r="I2339" s="2" t="s">
        <v>5579</v>
      </c>
      <c r="J2339" s="3" t="str">
        <f>HYPERLINK("https://www.boe.es/gazeta/dias/1817/11/15/pdfs/GMD-1817-137.pdf#page=1","Abrir facsímil")</f>
        <v>Abrir facsímil</v>
      </c>
      <c r="K2339" s="3" t="s">
        <v>29</v>
      </c>
    </row>
    <row r="2340" spans="1:11" ht="42" customHeight="1">
      <c r="A2340" s="2" t="s">
        <v>5580</v>
      </c>
      <c r="B2340" s="2" t="s">
        <v>5580</v>
      </c>
      <c r="C2340" s="2" t="s">
        <v>17</v>
      </c>
      <c r="D2340" s="2" t="s">
        <v>18</v>
      </c>
      <c r="E2340" s="5">
        <v>-30307</v>
      </c>
      <c r="F2340" s="3" t="s">
        <v>67</v>
      </c>
      <c r="G2340" s="3" t="s">
        <v>739</v>
      </c>
      <c r="H2340" s="2" t="s">
        <v>21</v>
      </c>
      <c r="I2340" s="2" t="s">
        <v>5581</v>
      </c>
      <c r="J2340" s="3" t="str">
        <f>HYPERLINK("https://www.boe.es/gazeta/dias/1817/01/07/pdfs/GMD-1817-3.pdf#page=6","Abrir facsímil")</f>
        <v>Abrir facsímil</v>
      </c>
      <c r="K2340" s="3" t="s">
        <v>23</v>
      </c>
    </row>
    <row r="2341" spans="1:11" ht="42" customHeight="1">
      <c r="A2341" s="2" t="s">
        <v>5580</v>
      </c>
      <c r="B2341" s="2" t="s">
        <v>5580</v>
      </c>
      <c r="C2341" s="2" t="s">
        <v>43</v>
      </c>
      <c r="D2341" s="2" t="s">
        <v>44</v>
      </c>
      <c r="E2341" s="5">
        <v>-30268</v>
      </c>
      <c r="F2341" s="3" t="s">
        <v>1160</v>
      </c>
      <c r="G2341" s="3" t="s">
        <v>57</v>
      </c>
      <c r="H2341" s="2" t="s">
        <v>21</v>
      </c>
      <c r="I2341" s="2" t="s">
        <v>5582</v>
      </c>
      <c r="J2341" s="3" t="str">
        <f>HYPERLINK("https://www.boe.es/gazeta/dias/1817/02/15/pdfs/GMD-1817-20.pdf#page=6","Abrir facsímil")</f>
        <v>Abrir facsímil</v>
      </c>
      <c r="K2341" s="3" t="s">
        <v>23</v>
      </c>
    </row>
    <row r="2342" spans="1:11" ht="42" customHeight="1">
      <c r="A2342" s="2" t="s">
        <v>5580</v>
      </c>
      <c r="B2342" s="2" t="s">
        <v>5580</v>
      </c>
      <c r="C2342" s="2" t="s">
        <v>49</v>
      </c>
      <c r="D2342" s="2" t="s">
        <v>44</v>
      </c>
      <c r="E2342" s="5">
        <v>-30202</v>
      </c>
      <c r="F2342" s="3" t="s">
        <v>418</v>
      </c>
      <c r="G2342" s="3" t="s">
        <v>77</v>
      </c>
      <c r="H2342" s="2" t="s">
        <v>21</v>
      </c>
      <c r="I2342" s="2" t="s">
        <v>5583</v>
      </c>
      <c r="J2342" s="3" t="str">
        <f>HYPERLINK("https://www.boe.es/gazeta/dias/1817/04/22/pdfs/GMD-1817-48.pdf#page=8","Abrir facsímil")</f>
        <v>Abrir facsímil</v>
      </c>
      <c r="K2342" s="3" t="s">
        <v>23</v>
      </c>
    </row>
    <row r="2343" spans="1:11" ht="42" customHeight="1">
      <c r="A2343" s="2" t="s">
        <v>5580</v>
      </c>
      <c r="B2343" s="2" t="s">
        <v>5580</v>
      </c>
      <c r="C2343" s="2" t="s">
        <v>36</v>
      </c>
      <c r="D2343" s="2" t="s">
        <v>37</v>
      </c>
      <c r="E2343" s="5">
        <v>-30170</v>
      </c>
      <c r="F2343" s="3" t="s">
        <v>98</v>
      </c>
      <c r="G2343" s="3" t="s">
        <v>20</v>
      </c>
      <c r="H2343" s="2" t="s">
        <v>21</v>
      </c>
      <c r="I2343" s="2" t="s">
        <v>5584</v>
      </c>
      <c r="J2343" s="3" t="str">
        <f>HYPERLINK("https://www.boe.es/gazeta/dias/1817/05/24/pdfs/GMD-1817-62.pdf#page=7","Abrir facsímil")</f>
        <v>Abrir facsímil</v>
      </c>
      <c r="K2343" s="3" t="s">
        <v>23</v>
      </c>
    </row>
    <row r="2344" spans="1:11" ht="42" customHeight="1">
      <c r="A2344" s="2" t="s">
        <v>5580</v>
      </c>
      <c r="B2344" s="2" t="s">
        <v>5580</v>
      </c>
      <c r="C2344" s="2" t="s">
        <v>36</v>
      </c>
      <c r="D2344" s="2" t="s">
        <v>37</v>
      </c>
      <c r="E2344" s="5">
        <v>-30163</v>
      </c>
      <c r="F2344" s="3" t="s">
        <v>166</v>
      </c>
      <c r="G2344" s="3" t="s">
        <v>57</v>
      </c>
      <c r="H2344" s="2" t="s">
        <v>21</v>
      </c>
      <c r="I2344" s="2" t="s">
        <v>5585</v>
      </c>
      <c r="J2344" s="3" t="str">
        <f>HYPERLINK("https://www.boe.es/gazeta/dias/1817/05/31/pdfs/GMD-1817-65.pdf#page=6","Abrir facsímil")</f>
        <v>Abrir facsímil</v>
      </c>
      <c r="K2344" s="3" t="s">
        <v>23</v>
      </c>
    </row>
    <row r="2345" spans="1:11" ht="42" customHeight="1">
      <c r="A2345" s="2" t="s">
        <v>5580</v>
      </c>
      <c r="B2345" s="2" t="s">
        <v>5580</v>
      </c>
      <c r="C2345" s="2" t="s">
        <v>17</v>
      </c>
      <c r="D2345" s="2" t="s">
        <v>18</v>
      </c>
      <c r="E2345" s="5">
        <v>-30121</v>
      </c>
      <c r="F2345" s="3" t="s">
        <v>851</v>
      </c>
      <c r="G2345" s="3" t="s">
        <v>20</v>
      </c>
      <c r="H2345" s="2" t="s">
        <v>21</v>
      </c>
      <c r="I2345" s="2" t="s">
        <v>5586</v>
      </c>
      <c r="J2345" s="3" t="str">
        <f>HYPERLINK("https://www.boe.es/gazeta/dias/1817/07/12/pdfs/GMD-1817-83.pdf#page=7","Abrir facsímil")</f>
        <v>Abrir facsímil</v>
      </c>
      <c r="K2345" s="3" t="s">
        <v>23</v>
      </c>
    </row>
    <row r="2346" spans="1:11" ht="42" customHeight="1">
      <c r="A2346" s="2" t="s">
        <v>5580</v>
      </c>
      <c r="B2346" s="2" t="s">
        <v>5580</v>
      </c>
      <c r="C2346" s="2" t="s">
        <v>36</v>
      </c>
      <c r="D2346" s="2" t="s">
        <v>37</v>
      </c>
      <c r="E2346" s="5">
        <v>-30062</v>
      </c>
      <c r="F2346" s="3" t="s">
        <v>444</v>
      </c>
      <c r="G2346" s="3" t="s">
        <v>691</v>
      </c>
      <c r="H2346" s="2" t="s">
        <v>21</v>
      </c>
      <c r="I2346" s="2" t="s">
        <v>5587</v>
      </c>
      <c r="J2346" s="3" t="str">
        <f>HYPERLINK("https://www.boe.es/gazeta/dias/1817/09/09/pdfs/GMD-1817-108.pdf#page=8","Abrir facsímil")</f>
        <v>Abrir facsímil</v>
      </c>
      <c r="K2346" s="3" t="s">
        <v>23</v>
      </c>
    </row>
    <row r="2347" spans="1:11" ht="42" customHeight="1">
      <c r="A2347" s="2" t="s">
        <v>5580</v>
      </c>
      <c r="B2347" s="2" t="s">
        <v>5580</v>
      </c>
      <c r="C2347" s="2" t="s">
        <v>97</v>
      </c>
      <c r="D2347" s="2" t="s">
        <v>44</v>
      </c>
      <c r="E2347" s="5">
        <v>-30041</v>
      </c>
      <c r="F2347" s="3" t="s">
        <v>260</v>
      </c>
      <c r="G2347" s="3" t="s">
        <v>39</v>
      </c>
      <c r="H2347" s="2" t="s">
        <v>21</v>
      </c>
      <c r="I2347" s="2" t="s">
        <v>5588</v>
      </c>
      <c r="J2347" s="3" t="str">
        <f>HYPERLINK("https://www.boe.es/gazeta/dias/1817/09/30/pdfs/GMD-1817-117.pdf#page=5","Abrir facsímil")</f>
        <v>Abrir facsímil</v>
      </c>
      <c r="K2347" s="3" t="s">
        <v>23</v>
      </c>
    </row>
    <row r="2348" spans="1:11" ht="42" customHeight="1">
      <c r="A2348" s="2" t="s">
        <v>5580</v>
      </c>
      <c r="B2348" s="2" t="s">
        <v>5580</v>
      </c>
      <c r="C2348" s="2" t="s">
        <v>138</v>
      </c>
      <c r="D2348" s="2" t="s">
        <v>44</v>
      </c>
      <c r="E2348" s="5">
        <v>-30020</v>
      </c>
      <c r="F2348" s="3" t="s">
        <v>291</v>
      </c>
      <c r="G2348" s="3" t="s">
        <v>2534</v>
      </c>
      <c r="H2348" s="2" t="s">
        <v>21</v>
      </c>
      <c r="I2348" s="2" t="s">
        <v>5589</v>
      </c>
      <c r="J2348" s="3" t="str">
        <f>HYPERLINK("https://www.boe.es/gazeta/dias/1817/10/21/pdfs/GMD-1817-126.pdf#page=8","Abrir facsímil")</f>
        <v>Abrir facsímil</v>
      </c>
      <c r="K2348" s="3" t="s">
        <v>23</v>
      </c>
    </row>
    <row r="2349" spans="1:11" ht="42" customHeight="1">
      <c r="A2349" s="2" t="s">
        <v>5580</v>
      </c>
      <c r="B2349" s="2" t="s">
        <v>5580</v>
      </c>
      <c r="C2349" s="2" t="s">
        <v>43</v>
      </c>
      <c r="D2349" s="2" t="s">
        <v>44</v>
      </c>
      <c r="E2349" s="5">
        <v>-29976</v>
      </c>
      <c r="F2349" s="3" t="s">
        <v>81</v>
      </c>
      <c r="G2349" s="3" t="s">
        <v>82</v>
      </c>
      <c r="H2349" s="2" t="s">
        <v>21</v>
      </c>
      <c r="I2349" s="2" t="s">
        <v>5590</v>
      </c>
      <c r="J2349" s="3" t="str">
        <f>HYPERLINK("https://www.boe.es/gazeta/dias/1817/12/04/pdfs/GMD-1817-145.pdf#page=12","Abrir facsímil")</f>
        <v>Abrir facsímil</v>
      </c>
      <c r="K2349" s="3" t="s">
        <v>23</v>
      </c>
    </row>
    <row r="2350" spans="1:11" ht="42" customHeight="1">
      <c r="A2350" s="2" t="s">
        <v>5580</v>
      </c>
      <c r="B2350" s="2" t="s">
        <v>5580</v>
      </c>
      <c r="C2350" s="2" t="s">
        <v>97</v>
      </c>
      <c r="D2350" s="2" t="s">
        <v>44</v>
      </c>
      <c r="E2350" s="5">
        <v>-29969</v>
      </c>
      <c r="F2350" s="3" t="s">
        <v>252</v>
      </c>
      <c r="G2350" s="3" t="s">
        <v>112</v>
      </c>
      <c r="H2350" s="2" t="s">
        <v>21</v>
      </c>
      <c r="I2350" s="2" t="s">
        <v>5591</v>
      </c>
      <c r="J2350" s="3" t="str">
        <f>HYPERLINK("https://www.boe.es/gazeta/dias/1817/12/11/pdfs/GMD-1817-148.pdf#page=11","Abrir facsímil")</f>
        <v>Abrir facsímil</v>
      </c>
      <c r="K2350" s="3" t="s">
        <v>23</v>
      </c>
    </row>
    <row r="2351" spans="1:11" ht="42" customHeight="1">
      <c r="A2351" s="2" t="s">
        <v>5592</v>
      </c>
      <c r="B2351" s="2" t="s">
        <v>5593</v>
      </c>
      <c r="C2351" s="2" t="s">
        <v>36</v>
      </c>
      <c r="D2351" s="2" t="s">
        <v>37</v>
      </c>
      <c r="E2351" s="5">
        <v>-30081</v>
      </c>
      <c r="F2351" s="3" t="s">
        <v>133</v>
      </c>
      <c r="G2351" s="3" t="s">
        <v>20</v>
      </c>
      <c r="H2351" s="2" t="s">
        <v>21</v>
      </c>
      <c r="I2351" s="2" t="s">
        <v>5594</v>
      </c>
      <c r="J2351" s="3" t="str">
        <f>HYPERLINK("https://www.boe.es/gazeta/dias/1817/08/21/pdfs/GMD-1817-100.pdf#page=7","Abrir facsímil")</f>
        <v>Abrir facsímil</v>
      </c>
      <c r="K2351" s="3" t="s">
        <v>23</v>
      </c>
    </row>
    <row r="2352" spans="1:11" ht="42" customHeight="1">
      <c r="A2352" s="2" t="s">
        <v>5595</v>
      </c>
      <c r="B2352" s="2" t="s">
        <v>5596</v>
      </c>
      <c r="C2352" s="2" t="s">
        <v>43</v>
      </c>
      <c r="D2352" s="2" t="s">
        <v>44</v>
      </c>
      <c r="E2352" s="5">
        <v>-30303</v>
      </c>
      <c r="F2352" s="3" t="s">
        <v>407</v>
      </c>
      <c r="G2352" s="3" t="s">
        <v>39</v>
      </c>
      <c r="H2352" s="2" t="s">
        <v>21</v>
      </c>
      <c r="I2352" s="2" t="s">
        <v>5597</v>
      </c>
      <c r="J2352" s="3" t="str">
        <f>HYPERLINK("https://www.boe.es/gazeta/dias/1817/01/11/pdfs/GMD-1817-5.pdf#page=5","Abrir facsímil")</f>
        <v>Abrir facsímil</v>
      </c>
      <c r="K2352" s="3" t="s">
        <v>23</v>
      </c>
    </row>
    <row r="2353" spans="1:11" ht="42" customHeight="1">
      <c r="A2353" s="2" t="s">
        <v>5595</v>
      </c>
      <c r="B2353" s="2" t="s">
        <v>5596</v>
      </c>
      <c r="C2353" s="2" t="s">
        <v>36</v>
      </c>
      <c r="D2353" s="2" t="s">
        <v>37</v>
      </c>
      <c r="E2353" s="5">
        <v>-30296</v>
      </c>
      <c r="F2353" s="3" t="s">
        <v>357</v>
      </c>
      <c r="G2353" s="3" t="s">
        <v>112</v>
      </c>
      <c r="H2353" s="2" t="s">
        <v>21</v>
      </c>
      <c r="I2353" s="2" t="s">
        <v>5598</v>
      </c>
      <c r="J2353" s="3" t="str">
        <f>HYPERLINK("https://www.boe.es/gazeta/dias/1817/01/18/pdfs/GMD-1817-8.pdf#page=11","Abrir facsímil")</f>
        <v>Abrir facsímil</v>
      </c>
      <c r="K2353" s="3" t="s">
        <v>23</v>
      </c>
    </row>
    <row r="2354" spans="1:11" ht="42" customHeight="1">
      <c r="A2354" s="2" t="s">
        <v>5595</v>
      </c>
      <c r="B2354" s="2" t="s">
        <v>5596</v>
      </c>
      <c r="C2354" s="2" t="s">
        <v>36</v>
      </c>
      <c r="D2354" s="2" t="s">
        <v>37</v>
      </c>
      <c r="E2354" s="5">
        <v>-30151</v>
      </c>
      <c r="F2354" s="3" t="s">
        <v>1422</v>
      </c>
      <c r="G2354" s="3" t="s">
        <v>39</v>
      </c>
      <c r="H2354" s="2" t="s">
        <v>21</v>
      </c>
      <c r="I2354" s="2" t="s">
        <v>5599</v>
      </c>
      <c r="J2354" s="3" t="str">
        <f>HYPERLINK("https://www.boe.es/gazeta/dias/1817/06/12/pdfs/GMD-1817-70.pdf#page=5","Abrir facsímil")</f>
        <v>Abrir facsímil</v>
      </c>
      <c r="K2354" s="3" t="s">
        <v>23</v>
      </c>
    </row>
    <row r="2355" spans="1:11" ht="42" customHeight="1">
      <c r="A2355" s="2" t="s">
        <v>5600</v>
      </c>
      <c r="B2355" s="2" t="s">
        <v>5601</v>
      </c>
      <c r="C2355" s="2" t="s">
        <v>36</v>
      </c>
      <c r="D2355" s="2" t="s">
        <v>37</v>
      </c>
      <c r="E2355" s="5">
        <v>-30090</v>
      </c>
      <c r="F2355" s="3" t="s">
        <v>89</v>
      </c>
      <c r="G2355" s="3" t="s">
        <v>39</v>
      </c>
      <c r="H2355" s="2" t="s">
        <v>21</v>
      </c>
      <c r="I2355" s="2" t="s">
        <v>5602</v>
      </c>
      <c r="J2355" s="3" t="str">
        <f>HYPERLINK("https://www.boe.es/gazeta/dias/1817/08/12/pdfs/GMD-1817-96.pdf#page=5","Abrir facsímil")</f>
        <v>Abrir facsímil</v>
      </c>
      <c r="K2355" s="3" t="s">
        <v>23</v>
      </c>
    </row>
    <row r="2356" spans="1:11" ht="42" customHeight="1">
      <c r="A2356" s="2" t="s">
        <v>5603</v>
      </c>
      <c r="B2356" s="2" t="s">
        <v>5604</v>
      </c>
      <c r="C2356" s="2" t="s">
        <v>97</v>
      </c>
      <c r="D2356" s="2" t="s">
        <v>44</v>
      </c>
      <c r="E2356" s="5">
        <v>-30104</v>
      </c>
      <c r="F2356" s="3" t="s">
        <v>856</v>
      </c>
      <c r="G2356" s="3" t="s">
        <v>1277</v>
      </c>
      <c r="H2356" s="2" t="s">
        <v>21</v>
      </c>
      <c r="I2356" s="2" t="s">
        <v>5605</v>
      </c>
      <c r="J2356" s="3" t="str">
        <f>HYPERLINK("https://www.boe.es/gazeta/dias/1817/07/29/pdfs/GMD-1817-90.pdf#page=8","Abrir facsímil")</f>
        <v>Abrir facsímil</v>
      </c>
      <c r="K2356" s="3" t="s">
        <v>23</v>
      </c>
    </row>
    <row r="2357" spans="1:11" ht="42" customHeight="1">
      <c r="A2357" s="2" t="s">
        <v>5606</v>
      </c>
      <c r="B2357" s="2" t="s">
        <v>5607</v>
      </c>
      <c r="C2357" s="2" t="s">
        <v>36</v>
      </c>
      <c r="D2357" s="2" t="s">
        <v>37</v>
      </c>
      <c r="E2357" s="5">
        <v>-30046</v>
      </c>
      <c r="F2357" s="3" t="s">
        <v>214</v>
      </c>
      <c r="G2357" s="3" t="s">
        <v>57</v>
      </c>
      <c r="H2357" s="2" t="s">
        <v>21</v>
      </c>
      <c r="I2357" s="2" t="s">
        <v>5608</v>
      </c>
      <c r="J2357" s="3" t="str">
        <f>HYPERLINK("https://www.boe.es/gazeta/dias/1817/09/25/pdfs/GMD-1817-115.pdf#page=6","Abrir facsímil")</f>
        <v>Abrir facsímil</v>
      </c>
      <c r="K2357" s="3" t="s">
        <v>23</v>
      </c>
    </row>
    <row r="2358" spans="1:11" ht="42" customHeight="1">
      <c r="A2358" s="2" t="s">
        <v>5609</v>
      </c>
      <c r="B2358" s="2" t="s">
        <v>5610</v>
      </c>
      <c r="C2358" s="2" t="s">
        <v>36</v>
      </c>
      <c r="D2358" s="2" t="s">
        <v>37</v>
      </c>
      <c r="E2358" s="5">
        <v>-30090</v>
      </c>
      <c r="F2358" s="3" t="s">
        <v>89</v>
      </c>
      <c r="G2358" s="3" t="s">
        <v>39</v>
      </c>
      <c r="H2358" s="2" t="s">
        <v>21</v>
      </c>
      <c r="I2358" s="2" t="s">
        <v>5611</v>
      </c>
      <c r="J2358" s="3" t="str">
        <f>HYPERLINK("https://www.boe.es/gazeta/dias/1817/08/12/pdfs/GMD-1817-96.pdf#page=5","Abrir facsímil")</f>
        <v>Abrir facsímil</v>
      </c>
      <c r="K2358" s="3" t="s">
        <v>23</v>
      </c>
    </row>
    <row r="2359" spans="1:11" ht="42" customHeight="1">
      <c r="A2359" s="2" t="s">
        <v>5612</v>
      </c>
      <c r="B2359" s="2" t="s">
        <v>5612</v>
      </c>
      <c r="C2359" s="2" t="s">
        <v>36</v>
      </c>
      <c r="D2359" s="2" t="s">
        <v>37</v>
      </c>
      <c r="E2359" s="5">
        <v>-30090</v>
      </c>
      <c r="F2359" s="3" t="s">
        <v>89</v>
      </c>
      <c r="G2359" s="3" t="s">
        <v>629</v>
      </c>
      <c r="H2359" s="2" t="s">
        <v>21</v>
      </c>
      <c r="I2359" s="2" t="s">
        <v>5613</v>
      </c>
      <c r="J2359" s="3" t="str">
        <f>HYPERLINK("https://www.boe.es/gazeta/dias/1817/08/12/pdfs/GMD-1817-96.pdf#page=2","Abrir facsímil")</f>
        <v>Abrir facsímil</v>
      </c>
      <c r="K2359" s="3" t="s">
        <v>23</v>
      </c>
    </row>
    <row r="2360" spans="1:11" ht="42" customHeight="1">
      <c r="A2360" s="2" t="s">
        <v>5614</v>
      </c>
      <c r="B2360" s="2" t="s">
        <v>5614</v>
      </c>
      <c r="C2360" s="2" t="s">
        <v>36</v>
      </c>
      <c r="D2360" s="2" t="s">
        <v>37</v>
      </c>
      <c r="E2360" s="5">
        <v>-29962</v>
      </c>
      <c r="F2360" s="3" t="s">
        <v>485</v>
      </c>
      <c r="G2360" s="3" t="s">
        <v>5615</v>
      </c>
      <c r="H2360" s="2" t="s">
        <v>21</v>
      </c>
      <c r="I2360" s="2" t="s">
        <v>5616</v>
      </c>
      <c r="J2360" s="3" t="str">
        <f>HYPERLINK("https://www.boe.es/gazeta/dias/1817/12/18/pdfs/GMD-1817-151.pdf#page=2","Abrir facsímil")</f>
        <v>Abrir facsímil</v>
      </c>
      <c r="K2360" s="3" t="s">
        <v>23</v>
      </c>
    </row>
    <row r="2361" spans="1:11" ht="42" customHeight="1">
      <c r="A2361" s="2" t="s">
        <v>5617</v>
      </c>
      <c r="B2361" s="2" t="s">
        <v>5617</v>
      </c>
      <c r="C2361" s="2" t="s">
        <v>43</v>
      </c>
      <c r="D2361" s="2" t="s">
        <v>44</v>
      </c>
      <c r="E2361" s="5">
        <v>-30156</v>
      </c>
      <c r="F2361" s="3" t="s">
        <v>635</v>
      </c>
      <c r="G2361" s="3" t="s">
        <v>636</v>
      </c>
      <c r="H2361" s="2" t="s">
        <v>21</v>
      </c>
      <c r="I2361" s="2" t="s">
        <v>5618</v>
      </c>
      <c r="J2361" s="3" t="str">
        <f>HYPERLINK("https://www.boe.es/gazeta/dias/1817/06/07/pdfs/GMD-1817-68.pdf#page=3","Abrir facsímil")</f>
        <v>Abrir facsímil</v>
      </c>
      <c r="K2361" s="3" t="s">
        <v>23</v>
      </c>
    </row>
    <row r="2362" spans="1:11" ht="42" customHeight="1">
      <c r="A2362" s="2" t="s">
        <v>5619</v>
      </c>
      <c r="B2362" s="2" t="s">
        <v>5619</v>
      </c>
      <c r="C2362" s="2" t="s">
        <v>97</v>
      </c>
      <c r="D2362" s="2" t="s">
        <v>44</v>
      </c>
      <c r="E2362" s="5">
        <v>-30261</v>
      </c>
      <c r="F2362" s="3" t="s">
        <v>226</v>
      </c>
      <c r="G2362" s="3" t="s">
        <v>144</v>
      </c>
      <c r="H2362" s="2" t="s">
        <v>21</v>
      </c>
      <c r="I2362" s="2" t="s">
        <v>5620</v>
      </c>
      <c r="J2362" s="3" t="str">
        <f>HYPERLINK("https://www.boe.es/gazeta/dias/1817/02/22/pdfs/GMD-1817-23.pdf#page=4","Abrir facsímil")</f>
        <v>Abrir facsímil</v>
      </c>
      <c r="K2362" s="3" t="s">
        <v>23</v>
      </c>
    </row>
    <row r="2363" spans="1:11" ht="42" customHeight="1">
      <c r="A2363" s="2" t="s">
        <v>5621</v>
      </c>
      <c r="B2363" s="2" t="s">
        <v>5621</v>
      </c>
      <c r="C2363" s="2" t="s">
        <v>36</v>
      </c>
      <c r="D2363" s="2" t="s">
        <v>37</v>
      </c>
      <c r="E2363" s="5">
        <v>-30303</v>
      </c>
      <c r="F2363" s="3" t="s">
        <v>407</v>
      </c>
      <c r="G2363" s="3" t="s">
        <v>551</v>
      </c>
      <c r="H2363" s="2" t="s">
        <v>21</v>
      </c>
      <c r="I2363" s="2" t="s">
        <v>5622</v>
      </c>
      <c r="J2363" s="3" t="str">
        <f>HYPERLINK("https://www.boe.es/gazeta/dias/1817/01/11/pdfs/GMD-1817-5.pdf#page=3","Abrir facsímil")</f>
        <v>Abrir facsímil</v>
      </c>
      <c r="K2363" s="3" t="s">
        <v>23</v>
      </c>
    </row>
    <row r="2364" spans="1:11" ht="42" customHeight="1">
      <c r="A2364" s="2" t="s">
        <v>5621</v>
      </c>
      <c r="B2364" s="2" t="s">
        <v>5621</v>
      </c>
      <c r="C2364" s="2" t="s">
        <v>43</v>
      </c>
      <c r="D2364" s="2" t="s">
        <v>44</v>
      </c>
      <c r="E2364" s="5">
        <v>-30223</v>
      </c>
      <c r="F2364" s="3" t="s">
        <v>627</v>
      </c>
      <c r="G2364" s="3" t="s">
        <v>629</v>
      </c>
      <c r="H2364" s="2" t="s">
        <v>21</v>
      </c>
      <c r="I2364" s="2" t="s">
        <v>5623</v>
      </c>
      <c r="J2364" s="3" t="str">
        <f>HYPERLINK("https://www.boe.es/gazeta/dias/1817/04/01/pdfs/GMD-1817-39.pdf#page=2","Abrir facsímil")</f>
        <v>Abrir facsímil</v>
      </c>
      <c r="K2364" s="3" t="s">
        <v>23</v>
      </c>
    </row>
    <row r="2365" spans="1:11" ht="42" customHeight="1">
      <c r="A2365" s="2" t="s">
        <v>5621</v>
      </c>
      <c r="B2365" s="2" t="s">
        <v>5621</v>
      </c>
      <c r="C2365" s="2" t="s">
        <v>36</v>
      </c>
      <c r="D2365" s="2" t="s">
        <v>37</v>
      </c>
      <c r="E2365" s="5">
        <v>-30202</v>
      </c>
      <c r="F2365" s="3" t="s">
        <v>418</v>
      </c>
      <c r="G2365" s="3" t="s">
        <v>1262</v>
      </c>
      <c r="H2365" s="2" t="s">
        <v>21</v>
      </c>
      <c r="I2365" s="2" t="s">
        <v>5624</v>
      </c>
      <c r="J2365" s="3" t="str">
        <f>HYPERLINK("https://www.boe.es/gazeta/dias/1817/04/22/pdfs/GMD-1817-48.pdf#page=2","Abrir facsímil")</f>
        <v>Abrir facsímil</v>
      </c>
      <c r="K2365" s="3" t="s">
        <v>23</v>
      </c>
    </row>
    <row r="2366" spans="1:11" ht="42" customHeight="1">
      <c r="A2366" s="2" t="s">
        <v>5621</v>
      </c>
      <c r="B2366" s="2" t="s">
        <v>5621</v>
      </c>
      <c r="C2366" s="2" t="s">
        <v>43</v>
      </c>
      <c r="D2366" s="2" t="s">
        <v>44</v>
      </c>
      <c r="E2366" s="5">
        <v>-30156</v>
      </c>
      <c r="F2366" s="3" t="s">
        <v>635</v>
      </c>
      <c r="G2366" s="3" t="s">
        <v>636</v>
      </c>
      <c r="H2366" s="2" t="s">
        <v>21</v>
      </c>
      <c r="I2366" s="2" t="s">
        <v>5625</v>
      </c>
      <c r="J2366" s="3" t="str">
        <f>HYPERLINK("https://www.boe.es/gazeta/dias/1817/06/07/pdfs/GMD-1817-68.pdf#page=3","Abrir facsímil")</f>
        <v>Abrir facsímil</v>
      </c>
      <c r="K2366" s="3" t="s">
        <v>23</v>
      </c>
    </row>
    <row r="2367" spans="1:11" ht="42" customHeight="1">
      <c r="A2367" s="2" t="s">
        <v>5626</v>
      </c>
      <c r="B2367" s="2" t="s">
        <v>5626</v>
      </c>
      <c r="C2367" s="2" t="s">
        <v>138</v>
      </c>
      <c r="D2367" s="2" t="s">
        <v>44</v>
      </c>
      <c r="E2367" s="5">
        <v>-30025</v>
      </c>
      <c r="F2367" s="3" t="s">
        <v>458</v>
      </c>
      <c r="G2367" s="3" t="s">
        <v>629</v>
      </c>
      <c r="H2367" s="2" t="s">
        <v>21</v>
      </c>
      <c r="I2367" s="2" t="s">
        <v>5627</v>
      </c>
      <c r="J2367" s="3" t="str">
        <f>HYPERLINK("https://www.boe.es/gazeta/dias/1817/10/16/pdfs/GMD-1817-124.pdf#page=2","Abrir facsímil")</f>
        <v>Abrir facsímil</v>
      </c>
      <c r="K2367" s="3" t="s">
        <v>23</v>
      </c>
    </row>
    <row r="2368" spans="1:11" ht="42" customHeight="1">
      <c r="A2368" s="2" t="s">
        <v>5628</v>
      </c>
      <c r="B2368" s="2" t="s">
        <v>5628</v>
      </c>
      <c r="C2368" s="2" t="s">
        <v>36</v>
      </c>
      <c r="D2368" s="2" t="s">
        <v>37</v>
      </c>
      <c r="E2368" s="5">
        <v>-30158</v>
      </c>
      <c r="F2368" s="3" t="s">
        <v>305</v>
      </c>
      <c r="G2368" s="3" t="s">
        <v>551</v>
      </c>
      <c r="H2368" s="2" t="s">
        <v>21</v>
      </c>
      <c r="I2368" s="2" t="s">
        <v>5629</v>
      </c>
      <c r="J2368" s="3" t="str">
        <f>HYPERLINK("https://www.boe.es/gazeta/dias/1817/06/05/pdfs/GMD-1817-67.pdf#page=3","Abrir facsímil")</f>
        <v>Abrir facsímil</v>
      </c>
      <c r="K2368" s="3" t="s">
        <v>23</v>
      </c>
    </row>
    <row r="2369" spans="1:11" ht="42" customHeight="1">
      <c r="A2369" s="2" t="s">
        <v>5630</v>
      </c>
      <c r="B2369" s="2" t="s">
        <v>5631</v>
      </c>
      <c r="C2369" s="2" t="s">
        <v>97</v>
      </c>
      <c r="D2369" s="2" t="s">
        <v>44</v>
      </c>
      <c r="E2369" s="5">
        <v>-29969</v>
      </c>
      <c r="F2369" s="3" t="s">
        <v>252</v>
      </c>
      <c r="G2369" s="3" t="s">
        <v>82</v>
      </c>
      <c r="H2369" s="2" t="s">
        <v>21</v>
      </c>
      <c r="I2369" s="2" t="s">
        <v>5632</v>
      </c>
      <c r="J2369" s="3" t="str">
        <f>HYPERLINK("https://www.boe.es/gazeta/dias/1817/12/11/pdfs/GMD-1817-148.pdf#page=12","Abrir facsímil")</f>
        <v>Abrir facsímil</v>
      </c>
      <c r="K2369" s="3" t="s">
        <v>23</v>
      </c>
    </row>
    <row r="2370" spans="1:11" ht="42" customHeight="1">
      <c r="A2370" s="2" t="s">
        <v>5633</v>
      </c>
      <c r="B2370" s="2" t="s">
        <v>5634</v>
      </c>
      <c r="C2370" s="2" t="s">
        <v>55</v>
      </c>
      <c r="D2370" s="2" t="s">
        <v>44</v>
      </c>
      <c r="E2370" s="5">
        <v>-30125</v>
      </c>
      <c r="F2370" s="3" t="s">
        <v>102</v>
      </c>
      <c r="G2370" s="3" t="s">
        <v>20</v>
      </c>
      <c r="H2370" s="2" t="s">
        <v>21</v>
      </c>
      <c r="I2370" s="2" t="s">
        <v>5635</v>
      </c>
      <c r="J2370" s="3" t="str">
        <f>HYPERLINK("https://www.boe.es/gazeta/dias/1817/07/08/pdfs/GMD-1817-81.pdf#page=7","Abrir facsímil")</f>
        <v>Abrir facsímil</v>
      </c>
      <c r="K2370" s="3" t="s">
        <v>23</v>
      </c>
    </row>
    <row r="2371" spans="1:11" ht="42" customHeight="1">
      <c r="A2371" s="2" t="s">
        <v>5636</v>
      </c>
      <c r="B2371" s="2" t="s">
        <v>5637</v>
      </c>
      <c r="C2371" s="2" t="s">
        <v>43</v>
      </c>
      <c r="D2371" s="2" t="s">
        <v>44</v>
      </c>
      <c r="E2371" s="5">
        <v>-30067</v>
      </c>
      <c r="F2371" s="3" t="s">
        <v>1221</v>
      </c>
      <c r="G2371" s="3" t="s">
        <v>144</v>
      </c>
      <c r="H2371" s="2" t="s">
        <v>21</v>
      </c>
      <c r="I2371" s="2" t="s">
        <v>5638</v>
      </c>
      <c r="J2371" s="3" t="str">
        <f>HYPERLINK("https://www.boe.es/gazeta/dias/1817/09/04/pdfs/GMD-1817-106.pdf#page=4","Abrir facsímil")</f>
        <v>Abrir facsímil</v>
      </c>
      <c r="K2371" s="3" t="s">
        <v>23</v>
      </c>
    </row>
    <row r="2372" spans="1:11" ht="42" customHeight="1">
      <c r="A2372" s="2" t="s">
        <v>5639</v>
      </c>
      <c r="B2372" s="2" t="s">
        <v>5640</v>
      </c>
      <c r="C2372" s="2" t="s">
        <v>43</v>
      </c>
      <c r="D2372" s="2" t="s">
        <v>44</v>
      </c>
      <c r="E2372" s="5">
        <v>-30261</v>
      </c>
      <c r="F2372" s="3" t="s">
        <v>226</v>
      </c>
      <c r="G2372" s="3" t="s">
        <v>20</v>
      </c>
      <c r="H2372" s="2" t="s">
        <v>21</v>
      </c>
      <c r="I2372" s="2" t="s">
        <v>5641</v>
      </c>
      <c r="J2372" s="3" t="str">
        <f>HYPERLINK("https://www.boe.es/gazeta/dias/1817/02/22/pdfs/GMD-1817-23.pdf#page=7","Abrir facsímil")</f>
        <v>Abrir facsímil</v>
      </c>
      <c r="K2372" s="3" t="s">
        <v>23</v>
      </c>
    </row>
    <row r="2373" spans="1:11" ht="42" customHeight="1">
      <c r="A2373" s="2" t="s">
        <v>5642</v>
      </c>
      <c r="B2373" s="2" t="s">
        <v>5643</v>
      </c>
      <c r="C2373" s="2" t="s">
        <v>43</v>
      </c>
      <c r="D2373" s="2" t="s">
        <v>44</v>
      </c>
      <c r="E2373" s="5">
        <v>-30286</v>
      </c>
      <c r="F2373" s="3" t="s">
        <v>354</v>
      </c>
      <c r="G2373" s="3" t="s">
        <v>1580</v>
      </c>
      <c r="H2373" s="2" t="s">
        <v>27</v>
      </c>
      <c r="I2373" s="2" t="s">
        <v>5644</v>
      </c>
      <c r="J2373" s="3" t="str">
        <f>HYPERLINK("https://www.boe.es/gazeta/dias/1817/01/28/pdfs/GMD-1817-12.pdf#page=5","Abrir facsímil")</f>
        <v>Abrir facsímil</v>
      </c>
      <c r="K2373" s="3" t="s">
        <v>29</v>
      </c>
    </row>
    <row r="2374" spans="1:11" ht="42" customHeight="1">
      <c r="A2374" s="2" t="s">
        <v>5645</v>
      </c>
      <c r="B2374" s="2" t="s">
        <v>5646</v>
      </c>
      <c r="C2374" s="2" t="s">
        <v>138</v>
      </c>
      <c r="D2374" s="2" t="s">
        <v>44</v>
      </c>
      <c r="E2374" s="5">
        <v>-30254</v>
      </c>
      <c r="F2374" s="3" t="s">
        <v>124</v>
      </c>
      <c r="G2374" s="3" t="s">
        <v>125</v>
      </c>
      <c r="H2374" s="2" t="s">
        <v>21</v>
      </c>
      <c r="I2374" s="2" t="s">
        <v>5647</v>
      </c>
      <c r="J2374" s="3" t="str">
        <f>HYPERLINK("https://www.boe.es/gazeta/dias/1817/03/01/pdfs/GMD-1817-26.pdf#page=5","Abrir facsímil")</f>
        <v>Abrir facsímil</v>
      </c>
      <c r="K2374" s="3" t="s">
        <v>23</v>
      </c>
    </row>
    <row r="2375" spans="1:11" ht="42" customHeight="1">
      <c r="A2375" s="2" t="s">
        <v>5645</v>
      </c>
      <c r="B2375" s="2" t="s">
        <v>5646</v>
      </c>
      <c r="C2375" s="2" t="s">
        <v>17</v>
      </c>
      <c r="D2375" s="2" t="s">
        <v>18</v>
      </c>
      <c r="E2375" s="5">
        <v>-30254</v>
      </c>
      <c r="F2375" s="3" t="s">
        <v>124</v>
      </c>
      <c r="G2375" s="3" t="s">
        <v>57</v>
      </c>
      <c r="H2375" s="2" t="s">
        <v>21</v>
      </c>
      <c r="I2375" s="2" t="s">
        <v>5648</v>
      </c>
      <c r="J2375" s="3" t="str">
        <f>HYPERLINK("https://www.boe.es/gazeta/dias/1817/03/01/pdfs/GMD-1817-26.pdf#page=6","Abrir facsímil")</f>
        <v>Abrir facsímil</v>
      </c>
      <c r="K2375" s="3" t="s">
        <v>23</v>
      </c>
    </row>
    <row r="2376" spans="1:11" ht="42" customHeight="1">
      <c r="A2376" s="2" t="s">
        <v>5649</v>
      </c>
      <c r="B2376" s="2" t="s">
        <v>5650</v>
      </c>
      <c r="C2376" s="2" t="s">
        <v>36</v>
      </c>
      <c r="D2376" s="2" t="s">
        <v>37</v>
      </c>
      <c r="E2376" s="5">
        <v>-29950</v>
      </c>
      <c r="F2376" s="3" t="s">
        <v>185</v>
      </c>
      <c r="G2376" s="3" t="s">
        <v>57</v>
      </c>
      <c r="H2376" s="2" t="s">
        <v>21</v>
      </c>
      <c r="I2376" s="2" t="s">
        <v>5651</v>
      </c>
      <c r="J2376" s="3" t="str">
        <f>HYPERLINK("https://www.boe.es/gazeta/dias/1817/12/30/pdfs/GMD-1817-156.pdf#page=6","Abrir facsímil")</f>
        <v>Abrir facsímil</v>
      </c>
      <c r="K2376" s="3" t="s">
        <v>23</v>
      </c>
    </row>
    <row r="2377" spans="1:11" ht="42" customHeight="1">
      <c r="A2377" s="2" t="s">
        <v>5652</v>
      </c>
      <c r="B2377" s="2" t="s">
        <v>5653</v>
      </c>
      <c r="C2377" s="2" t="s">
        <v>17</v>
      </c>
      <c r="D2377" s="2" t="s">
        <v>18</v>
      </c>
      <c r="E2377" s="5">
        <v>-30286</v>
      </c>
      <c r="F2377" s="3" t="s">
        <v>354</v>
      </c>
      <c r="G2377" s="3" t="s">
        <v>20</v>
      </c>
      <c r="H2377" s="2" t="s">
        <v>21</v>
      </c>
      <c r="I2377" s="2" t="s">
        <v>5654</v>
      </c>
      <c r="J2377" s="3" t="str">
        <f>HYPERLINK("https://www.boe.es/gazeta/dias/1817/01/28/pdfs/GMD-1817-12.pdf#page=7","Abrir facsímil")</f>
        <v>Abrir facsímil</v>
      </c>
      <c r="K2377" s="3" t="s">
        <v>23</v>
      </c>
    </row>
    <row r="2378" spans="1:11" ht="42" customHeight="1">
      <c r="A2378" s="2" t="s">
        <v>5655</v>
      </c>
      <c r="B2378" s="2" t="s">
        <v>5656</v>
      </c>
      <c r="C2378" s="2" t="s">
        <v>36</v>
      </c>
      <c r="D2378" s="2" t="s">
        <v>37</v>
      </c>
      <c r="E2378" s="5">
        <v>-30305</v>
      </c>
      <c r="F2378" s="3" t="s">
        <v>405</v>
      </c>
      <c r="G2378" s="3" t="s">
        <v>20</v>
      </c>
      <c r="H2378" s="2" t="s">
        <v>21</v>
      </c>
      <c r="I2378" s="2" t="s">
        <v>5657</v>
      </c>
      <c r="J2378" s="3" t="str">
        <f>HYPERLINK("https://www.boe.es/gazeta/dias/1817/01/09/pdfs/GMD-1817-4.pdf#page=7","Abrir facsímil")</f>
        <v>Abrir facsímil</v>
      </c>
      <c r="K2378" s="3" t="s">
        <v>23</v>
      </c>
    </row>
    <row r="2379" spans="1:11" ht="42" customHeight="1">
      <c r="A2379" s="2" t="s">
        <v>5655</v>
      </c>
      <c r="B2379" s="2" t="s">
        <v>5656</v>
      </c>
      <c r="C2379" s="2" t="s">
        <v>36</v>
      </c>
      <c r="D2379" s="2" t="s">
        <v>37</v>
      </c>
      <c r="E2379" s="5">
        <v>-30233</v>
      </c>
      <c r="F2379" s="3" t="s">
        <v>577</v>
      </c>
      <c r="G2379" s="3" t="s">
        <v>20</v>
      </c>
      <c r="H2379" s="2" t="s">
        <v>21</v>
      </c>
      <c r="I2379" s="2" t="s">
        <v>5658</v>
      </c>
      <c r="J2379" s="3" t="str">
        <f>HYPERLINK("https://www.boe.es/gazeta/dias/1817/03/22/pdfs/GMD-1817-35.pdf#page=7","Abrir facsímil")</f>
        <v>Abrir facsímil</v>
      </c>
      <c r="K2379" s="3" t="s">
        <v>23</v>
      </c>
    </row>
    <row r="2380" spans="1:11" ht="42" customHeight="1">
      <c r="A2380" s="2" t="s">
        <v>5655</v>
      </c>
      <c r="B2380" s="2" t="s">
        <v>5656</v>
      </c>
      <c r="C2380" s="2" t="s">
        <v>36</v>
      </c>
      <c r="D2380" s="2" t="s">
        <v>37</v>
      </c>
      <c r="E2380" s="5">
        <v>-30223</v>
      </c>
      <c r="F2380" s="3" t="s">
        <v>627</v>
      </c>
      <c r="G2380" s="3" t="s">
        <v>39</v>
      </c>
      <c r="H2380" s="2" t="s">
        <v>21</v>
      </c>
      <c r="I2380" s="2" t="s">
        <v>5659</v>
      </c>
      <c r="J2380" s="3" t="str">
        <f>HYPERLINK("https://www.boe.es/gazeta/dias/1817/04/01/pdfs/GMD-1817-39.pdf#page=5","Abrir facsímil")</f>
        <v>Abrir facsímil</v>
      </c>
      <c r="K2380" s="3" t="s">
        <v>23</v>
      </c>
    </row>
    <row r="2381" spans="1:11" ht="42" customHeight="1">
      <c r="A2381" s="2" t="s">
        <v>5660</v>
      </c>
      <c r="B2381" s="2" t="s">
        <v>5660</v>
      </c>
      <c r="C2381" s="2" t="s">
        <v>36</v>
      </c>
      <c r="D2381" s="2" t="s">
        <v>37</v>
      </c>
      <c r="E2381" s="5">
        <v>-30139</v>
      </c>
      <c r="F2381" s="3" t="s">
        <v>993</v>
      </c>
      <c r="G2381" s="3" t="s">
        <v>72</v>
      </c>
      <c r="H2381" s="2" t="s">
        <v>21</v>
      </c>
      <c r="I2381" s="2" t="s">
        <v>5661</v>
      </c>
      <c r="J2381" s="3" t="str">
        <f>HYPERLINK("https://www.boe.es/gazeta/dias/1817/06/24/pdfs/GMD-1817-75.pdf#page=1","Abrir facsímil")</f>
        <v>Abrir facsímil</v>
      </c>
      <c r="K2381" s="3" t="s">
        <v>23</v>
      </c>
    </row>
    <row r="2382" spans="1:11" ht="42" customHeight="1">
      <c r="A2382" s="2" t="s">
        <v>5662</v>
      </c>
      <c r="B2382" s="2" t="s">
        <v>5662</v>
      </c>
      <c r="C2382" s="2" t="s">
        <v>36</v>
      </c>
      <c r="D2382" s="2" t="s">
        <v>37</v>
      </c>
      <c r="E2382" s="5">
        <v>-30219</v>
      </c>
      <c r="F2382" s="3" t="s">
        <v>1346</v>
      </c>
      <c r="G2382" s="3" t="s">
        <v>5663</v>
      </c>
      <c r="H2382" s="2" t="s">
        <v>21</v>
      </c>
      <c r="I2382" s="2" t="s">
        <v>5664</v>
      </c>
      <c r="J2382" s="3" t="str">
        <f>HYPERLINK("https://www.boe.es/gazeta/dias/1817/04/05/pdfs/GMD-1817-41.pdf#page=2","Abrir facsímil")</f>
        <v>Abrir facsímil</v>
      </c>
      <c r="K2382" s="3" t="s">
        <v>23</v>
      </c>
    </row>
    <row r="2383" spans="1:11" ht="42" customHeight="1">
      <c r="A2383" s="2" t="s">
        <v>5665</v>
      </c>
      <c r="B2383" s="2" t="s">
        <v>5666</v>
      </c>
      <c r="C2383" s="2" t="s">
        <v>138</v>
      </c>
      <c r="D2383" s="2" t="s">
        <v>44</v>
      </c>
      <c r="E2383" s="5">
        <v>-30034</v>
      </c>
      <c r="F2383" s="3" t="s">
        <v>270</v>
      </c>
      <c r="G2383" s="3" t="s">
        <v>20</v>
      </c>
      <c r="H2383" s="2" t="s">
        <v>21</v>
      </c>
      <c r="I2383" s="2" t="s">
        <v>5667</v>
      </c>
      <c r="J2383" s="3" t="str">
        <f>HYPERLINK("https://www.boe.es/gazeta/dias/1817/10/07/pdfs/GMD-1817-120.pdf#page=7","Abrir facsímil")</f>
        <v>Abrir facsímil</v>
      </c>
      <c r="K2383" s="3" t="s">
        <v>23</v>
      </c>
    </row>
    <row r="2384" spans="1:11" ht="42" customHeight="1">
      <c r="A2384" s="2" t="s">
        <v>5668</v>
      </c>
      <c r="B2384" s="2" t="s">
        <v>5668</v>
      </c>
      <c r="C2384" s="2" t="s">
        <v>43</v>
      </c>
      <c r="D2384" s="2" t="s">
        <v>44</v>
      </c>
      <c r="E2384" s="5">
        <v>-30247</v>
      </c>
      <c r="F2384" s="3" t="s">
        <v>1796</v>
      </c>
      <c r="G2384" s="3" t="s">
        <v>629</v>
      </c>
      <c r="H2384" s="2" t="s">
        <v>21</v>
      </c>
      <c r="I2384" s="2" t="s">
        <v>5669</v>
      </c>
      <c r="J2384" s="3" t="str">
        <f>HYPERLINK("https://www.boe.es/gazeta/dias/1817/03/08/pdfs/GMD-1817-29.pdf#page=2","Abrir facsímil")</f>
        <v>Abrir facsímil</v>
      </c>
      <c r="K2384" s="3" t="s">
        <v>23</v>
      </c>
    </row>
    <row r="2385" spans="1:11" ht="42" customHeight="1">
      <c r="A2385" s="2" t="s">
        <v>5670</v>
      </c>
      <c r="B2385" s="2" t="s">
        <v>5671</v>
      </c>
      <c r="C2385" s="2" t="s">
        <v>43</v>
      </c>
      <c r="D2385" s="2" t="s">
        <v>44</v>
      </c>
      <c r="E2385" s="5">
        <v>-29955</v>
      </c>
      <c r="F2385" s="3" t="s">
        <v>805</v>
      </c>
      <c r="G2385" s="3" t="s">
        <v>20</v>
      </c>
      <c r="H2385" s="2" t="s">
        <v>21</v>
      </c>
      <c r="I2385" s="2" t="s">
        <v>5672</v>
      </c>
      <c r="J2385" s="3" t="str">
        <f>HYPERLINK("https://www.boe.es/gazeta/dias/1817/12/25/pdfs/GMD-1817-154.pdf#page=7","Abrir facsímil")</f>
        <v>Abrir facsímil</v>
      </c>
      <c r="K2385" s="3" t="s">
        <v>23</v>
      </c>
    </row>
    <row r="2386" spans="1:11" ht="42" customHeight="1">
      <c r="A2386" s="2" t="s">
        <v>5673</v>
      </c>
      <c r="B2386" s="2" t="s">
        <v>5673</v>
      </c>
      <c r="C2386" s="2" t="s">
        <v>36</v>
      </c>
      <c r="D2386" s="2" t="s">
        <v>37</v>
      </c>
      <c r="E2386" s="5">
        <v>-30118</v>
      </c>
      <c r="F2386" s="3" t="s">
        <v>432</v>
      </c>
      <c r="G2386" s="3" t="s">
        <v>72</v>
      </c>
      <c r="H2386" s="2" t="s">
        <v>21</v>
      </c>
      <c r="I2386" s="2" t="s">
        <v>5674</v>
      </c>
      <c r="J2386" s="3" t="str">
        <f>HYPERLINK("https://www.boe.es/gazeta/dias/1817/07/15/pdfs/GMD-1817-84.pdf#page=1","Abrir facsímil")</f>
        <v>Abrir facsímil</v>
      </c>
      <c r="K2386" s="3" t="s">
        <v>23</v>
      </c>
    </row>
    <row r="2387" spans="1:11" ht="42" customHeight="1">
      <c r="A2387" s="2" t="s">
        <v>5675</v>
      </c>
      <c r="B2387" s="2" t="s">
        <v>5676</v>
      </c>
      <c r="C2387" s="2" t="s">
        <v>36</v>
      </c>
      <c r="D2387" s="2" t="s">
        <v>37</v>
      </c>
      <c r="E2387" s="5">
        <v>-29988</v>
      </c>
      <c r="F2387" s="3" t="s">
        <v>569</v>
      </c>
      <c r="G2387" s="3" t="s">
        <v>57</v>
      </c>
      <c r="H2387" s="2" t="s">
        <v>21</v>
      </c>
      <c r="I2387" s="2" t="s">
        <v>5677</v>
      </c>
      <c r="J2387" s="3" t="str">
        <f>HYPERLINK("https://www.boe.es/gazeta/dias/1817/11/22/pdfs/GMD-1817-140.pdf#page=6","Abrir facsímil")</f>
        <v>Abrir facsímil</v>
      </c>
      <c r="K2387" s="3" t="s">
        <v>23</v>
      </c>
    </row>
    <row r="2388" spans="1:11" ht="42" customHeight="1">
      <c r="A2388" s="2" t="s">
        <v>5678</v>
      </c>
      <c r="B2388" s="2" t="s">
        <v>5679</v>
      </c>
      <c r="C2388" s="2" t="s">
        <v>138</v>
      </c>
      <c r="D2388" s="2" t="s">
        <v>44</v>
      </c>
      <c r="E2388" s="5">
        <v>-30060</v>
      </c>
      <c r="F2388" s="3" t="s">
        <v>446</v>
      </c>
      <c r="G2388" s="3" t="s">
        <v>77</v>
      </c>
      <c r="H2388" s="2" t="s">
        <v>21</v>
      </c>
      <c r="I2388" s="2" t="s">
        <v>5680</v>
      </c>
      <c r="J2388" s="3" t="str">
        <f>HYPERLINK("https://www.boe.es/gazeta/dias/1817/09/11/pdfs/GMD-1817-109.pdf#page=8","Abrir facsímil")</f>
        <v>Abrir facsímil</v>
      </c>
      <c r="K2388" s="3" t="s">
        <v>23</v>
      </c>
    </row>
    <row r="2389" spans="1:11" ht="42" customHeight="1">
      <c r="A2389" s="2" t="s">
        <v>5681</v>
      </c>
      <c r="B2389" s="2" t="s">
        <v>5682</v>
      </c>
      <c r="C2389" s="2" t="s">
        <v>17</v>
      </c>
      <c r="D2389" s="2" t="s">
        <v>18</v>
      </c>
      <c r="E2389" s="5">
        <v>-30083</v>
      </c>
      <c r="F2389" s="3" t="s">
        <v>1273</v>
      </c>
      <c r="G2389" s="3" t="s">
        <v>77</v>
      </c>
      <c r="H2389" s="2" t="s">
        <v>21</v>
      </c>
      <c r="I2389" s="2" t="s">
        <v>5683</v>
      </c>
      <c r="J2389" s="3" t="str">
        <f>HYPERLINK("https://www.boe.es/gazeta/dias/1817/08/19/pdfs/GMD-1817-99.pdf#page=8","Abrir facsímil")</f>
        <v>Abrir facsímil</v>
      </c>
      <c r="K2389" s="3" t="s">
        <v>23</v>
      </c>
    </row>
    <row r="2390" spans="1:11" ht="42" customHeight="1">
      <c r="A2390" s="2" t="s">
        <v>5684</v>
      </c>
      <c r="B2390" s="2" t="s">
        <v>5685</v>
      </c>
      <c r="C2390" s="2" t="s">
        <v>36</v>
      </c>
      <c r="D2390" s="2" t="s">
        <v>37</v>
      </c>
      <c r="E2390" s="5">
        <v>-30261</v>
      </c>
      <c r="F2390" s="3" t="s">
        <v>226</v>
      </c>
      <c r="G2390" s="3" t="s">
        <v>57</v>
      </c>
      <c r="H2390" s="2" t="s">
        <v>21</v>
      </c>
      <c r="I2390" s="2" t="s">
        <v>5686</v>
      </c>
      <c r="J2390" s="3" t="str">
        <f>HYPERLINK("https://www.boe.es/gazeta/dias/1817/02/22/pdfs/GMD-1817-23.pdf#page=6","Abrir facsímil")</f>
        <v>Abrir facsímil</v>
      </c>
      <c r="K2390" s="3" t="s">
        <v>23</v>
      </c>
    </row>
    <row r="2391" spans="1:11" ht="42" customHeight="1">
      <c r="A2391" s="2" t="s">
        <v>5687</v>
      </c>
      <c r="B2391" s="2" t="s">
        <v>5688</v>
      </c>
      <c r="C2391" s="2" t="s">
        <v>36</v>
      </c>
      <c r="D2391" s="2" t="s">
        <v>37</v>
      </c>
      <c r="E2391" s="5">
        <v>-30289</v>
      </c>
      <c r="F2391" s="3" t="s">
        <v>193</v>
      </c>
      <c r="G2391" s="3" t="s">
        <v>57</v>
      </c>
      <c r="H2391" s="2" t="s">
        <v>21</v>
      </c>
      <c r="I2391" s="2" t="s">
        <v>5689</v>
      </c>
      <c r="J2391" s="3" t="str">
        <f>HYPERLINK("https://www.boe.es/gazeta/dias/1817/01/25/pdfs/GMD-1817-11.pdf#page=6","Abrir facsímil")</f>
        <v>Abrir facsímil</v>
      </c>
      <c r="K2391" s="3" t="s">
        <v>23</v>
      </c>
    </row>
    <row r="2392" spans="1:11" ht="42" customHeight="1">
      <c r="A2392" s="2" t="s">
        <v>5690</v>
      </c>
      <c r="B2392" s="2" t="s">
        <v>5691</v>
      </c>
      <c r="C2392" s="2" t="s">
        <v>43</v>
      </c>
      <c r="D2392" s="2" t="s">
        <v>44</v>
      </c>
      <c r="E2392" s="5">
        <v>-30307</v>
      </c>
      <c r="F2392" s="3" t="s">
        <v>67</v>
      </c>
      <c r="G2392" s="3" t="s">
        <v>68</v>
      </c>
      <c r="H2392" s="2" t="s">
        <v>27</v>
      </c>
      <c r="I2392" s="2" t="s">
        <v>5692</v>
      </c>
      <c r="J2392" s="3" t="str">
        <f>HYPERLINK("https://www.boe.es/gazeta/dias/1817/01/07/pdfs/GMD-1817-3.pdf#page=8","Abrir facsímil")</f>
        <v>Abrir facsímil</v>
      </c>
      <c r="K2392" s="3" t="s">
        <v>29</v>
      </c>
    </row>
    <row r="2393" spans="1:11" ht="42" customHeight="1">
      <c r="A2393" s="2" t="s">
        <v>5693</v>
      </c>
      <c r="B2393" s="2" t="s">
        <v>5694</v>
      </c>
      <c r="C2393" s="2" t="s">
        <v>43</v>
      </c>
      <c r="D2393" s="2" t="s">
        <v>44</v>
      </c>
      <c r="E2393" s="5">
        <v>-30004</v>
      </c>
      <c r="F2393" s="3" t="s">
        <v>329</v>
      </c>
      <c r="G2393" s="3" t="s">
        <v>330</v>
      </c>
      <c r="H2393" s="2" t="s">
        <v>21</v>
      </c>
      <c r="I2393" s="2" t="s">
        <v>5695</v>
      </c>
      <c r="J2393" s="3" t="str">
        <f>HYPERLINK("https://www.boe.es/gazeta/dias/1817/11/06/pdfs/GMD-1817-133.pdf#page=4","Abrir facsímil")</f>
        <v>Abrir facsímil</v>
      </c>
      <c r="K2393" s="3" t="s">
        <v>23</v>
      </c>
    </row>
    <row r="2394" spans="1:11" ht="42" customHeight="1">
      <c r="A2394" s="2" t="s">
        <v>5696</v>
      </c>
      <c r="B2394" s="2" t="s">
        <v>5697</v>
      </c>
      <c r="C2394" s="2" t="s">
        <v>17</v>
      </c>
      <c r="D2394" s="2" t="s">
        <v>18</v>
      </c>
      <c r="E2394" s="5">
        <v>-30139</v>
      </c>
      <c r="F2394" s="3" t="s">
        <v>993</v>
      </c>
      <c r="G2394" s="3" t="s">
        <v>39</v>
      </c>
      <c r="H2394" s="2" t="s">
        <v>21</v>
      </c>
      <c r="I2394" s="2" t="s">
        <v>5698</v>
      </c>
      <c r="J2394" s="3" t="str">
        <f>HYPERLINK("https://www.boe.es/gazeta/dias/1817/06/24/pdfs/GMD-1817-75.pdf#page=5","Abrir facsímil")</f>
        <v>Abrir facsímil</v>
      </c>
      <c r="K2394" s="3" t="s">
        <v>23</v>
      </c>
    </row>
    <row r="2395" spans="1:11" ht="42" customHeight="1">
      <c r="A2395" s="2" t="s">
        <v>5699</v>
      </c>
      <c r="B2395" s="2" t="s">
        <v>5700</v>
      </c>
      <c r="C2395" s="2" t="s">
        <v>17</v>
      </c>
      <c r="D2395" s="2" t="s">
        <v>18</v>
      </c>
      <c r="E2395" s="5">
        <v>-30261</v>
      </c>
      <c r="F2395" s="3" t="s">
        <v>226</v>
      </c>
      <c r="G2395" s="3" t="s">
        <v>57</v>
      </c>
      <c r="H2395" s="2" t="s">
        <v>21</v>
      </c>
      <c r="I2395" s="2" t="s">
        <v>5701</v>
      </c>
      <c r="J2395" s="3" t="str">
        <f>HYPERLINK("https://www.boe.es/gazeta/dias/1817/02/22/pdfs/GMD-1817-23.pdf#page=6","Abrir facsímil")</f>
        <v>Abrir facsímil</v>
      </c>
      <c r="K2395" s="3" t="s">
        <v>23</v>
      </c>
    </row>
    <row r="2396" spans="1:11" ht="42" customHeight="1">
      <c r="A2396" s="2" t="s">
        <v>5702</v>
      </c>
      <c r="B2396" s="2" t="s">
        <v>5703</v>
      </c>
      <c r="C2396" s="2" t="s">
        <v>55</v>
      </c>
      <c r="D2396" s="2" t="s">
        <v>44</v>
      </c>
      <c r="E2396" s="5">
        <v>-30310</v>
      </c>
      <c r="F2396" s="3" t="s">
        <v>93</v>
      </c>
      <c r="G2396" s="3" t="s">
        <v>57</v>
      </c>
      <c r="H2396" s="2" t="s">
        <v>21</v>
      </c>
      <c r="I2396" s="2" t="s">
        <v>5704</v>
      </c>
      <c r="J2396" s="3" t="str">
        <f>HYPERLINK("https://www.boe.es/gazeta/dias/1817/01/04/pdfs/GMD-1817-2.pdf#page=6","Abrir facsímil")</f>
        <v>Abrir facsímil</v>
      </c>
      <c r="K2396" s="3" t="s">
        <v>23</v>
      </c>
    </row>
    <row r="2397" spans="1:11" ht="42" customHeight="1">
      <c r="A2397" s="2" t="s">
        <v>5705</v>
      </c>
      <c r="B2397" s="2" t="s">
        <v>5706</v>
      </c>
      <c r="C2397" s="2" t="s">
        <v>55</v>
      </c>
      <c r="D2397" s="2" t="s">
        <v>44</v>
      </c>
      <c r="E2397" s="5">
        <v>-30081</v>
      </c>
      <c r="F2397" s="3" t="s">
        <v>133</v>
      </c>
      <c r="G2397" s="3" t="s">
        <v>82</v>
      </c>
      <c r="H2397" s="2" t="s">
        <v>21</v>
      </c>
      <c r="I2397" s="2" t="s">
        <v>5707</v>
      </c>
      <c r="J2397" s="3" t="str">
        <f>HYPERLINK("https://www.boe.es/gazeta/dias/1817/08/21/pdfs/GMD-1817-100.pdf#page=12","Abrir facsímil")</f>
        <v>Abrir facsímil</v>
      </c>
      <c r="K2397" s="3" t="s">
        <v>23</v>
      </c>
    </row>
    <row r="2398" spans="1:11" ht="42" customHeight="1">
      <c r="A2398" s="2" t="s">
        <v>5708</v>
      </c>
      <c r="B2398" s="2" t="s">
        <v>5709</v>
      </c>
      <c r="C2398" s="2" t="s">
        <v>17</v>
      </c>
      <c r="D2398" s="2" t="s">
        <v>18</v>
      </c>
      <c r="E2398" s="5">
        <v>-30205</v>
      </c>
      <c r="F2398" s="3" t="s">
        <v>139</v>
      </c>
      <c r="G2398" s="3" t="s">
        <v>77</v>
      </c>
      <c r="H2398" s="2" t="s">
        <v>21</v>
      </c>
      <c r="I2398" s="2" t="s">
        <v>5710</v>
      </c>
      <c r="J2398" s="3" t="str">
        <f>HYPERLINK("https://www.boe.es/gazeta/dias/1817/04/19/pdfs/GMD-1817-47.pdf#page=8","Abrir facsímil")</f>
        <v>Abrir facsímil</v>
      </c>
      <c r="K2398" s="3" t="s">
        <v>23</v>
      </c>
    </row>
    <row r="2399" spans="1:11" ht="42" customHeight="1">
      <c r="A2399" s="2" t="s">
        <v>5711</v>
      </c>
      <c r="B2399" s="2" t="s">
        <v>5712</v>
      </c>
      <c r="C2399" s="2" t="s">
        <v>17</v>
      </c>
      <c r="D2399" s="2" t="s">
        <v>18</v>
      </c>
      <c r="E2399" s="5">
        <v>-30135</v>
      </c>
      <c r="F2399" s="3" t="s">
        <v>239</v>
      </c>
      <c r="G2399" s="3" t="s">
        <v>240</v>
      </c>
      <c r="H2399" s="2" t="s">
        <v>21</v>
      </c>
      <c r="I2399" s="2" t="s">
        <v>5713</v>
      </c>
      <c r="J2399" s="3" t="str">
        <f>HYPERLINK("https://www.boe.es/gazeta/dias/1817/06/28/pdfs/GMD-1817-77.pdf#page=7","Abrir facsímil")</f>
        <v>Abrir facsímil</v>
      </c>
      <c r="K2399" s="3" t="s">
        <v>23</v>
      </c>
    </row>
    <row r="2400" spans="1:11" ht="42" customHeight="1">
      <c r="A2400" s="2" t="s">
        <v>5714</v>
      </c>
      <c r="B2400" s="2" t="s">
        <v>5715</v>
      </c>
      <c r="C2400" s="2" t="s">
        <v>17</v>
      </c>
      <c r="D2400" s="2" t="s">
        <v>18</v>
      </c>
      <c r="E2400" s="5">
        <v>-30307</v>
      </c>
      <c r="F2400" s="3" t="s">
        <v>67</v>
      </c>
      <c r="G2400" s="3" t="s">
        <v>739</v>
      </c>
      <c r="H2400" s="2" t="s">
        <v>21</v>
      </c>
      <c r="I2400" s="2" t="s">
        <v>5716</v>
      </c>
      <c r="J2400" s="3" t="str">
        <f>HYPERLINK("https://www.boe.es/gazeta/dias/1817/01/07/pdfs/GMD-1817-3.pdf#page=6","Abrir facsímil")</f>
        <v>Abrir facsímil</v>
      </c>
      <c r="K2400" s="3" t="s">
        <v>23</v>
      </c>
    </row>
    <row r="2401" spans="1:11" ht="42" customHeight="1">
      <c r="A2401" s="2" t="s">
        <v>5717</v>
      </c>
      <c r="B2401" s="2" t="s">
        <v>5718</v>
      </c>
      <c r="C2401" s="2" t="s">
        <v>43</v>
      </c>
      <c r="D2401" s="2" t="s">
        <v>44</v>
      </c>
      <c r="E2401" s="5">
        <v>-30286</v>
      </c>
      <c r="F2401" s="3" t="s">
        <v>354</v>
      </c>
      <c r="G2401" s="3" t="s">
        <v>1580</v>
      </c>
      <c r="H2401" s="2" t="s">
        <v>21</v>
      </c>
      <c r="I2401" s="2" t="s">
        <v>5719</v>
      </c>
      <c r="J2401" s="3" t="str">
        <f>HYPERLINK("https://www.boe.es/gazeta/dias/1817/01/28/pdfs/GMD-1817-12.pdf#page=5","Abrir facsímil")</f>
        <v>Abrir facsímil</v>
      </c>
      <c r="K2401" s="3" t="s">
        <v>23</v>
      </c>
    </row>
    <row r="2402" spans="1:11" ht="42" customHeight="1">
      <c r="A2402" s="2" t="s">
        <v>5720</v>
      </c>
      <c r="B2402" s="2" t="s">
        <v>5721</v>
      </c>
      <c r="C2402" s="2" t="s">
        <v>17</v>
      </c>
      <c r="D2402" s="2" t="s">
        <v>18</v>
      </c>
      <c r="E2402" s="5">
        <v>-29992</v>
      </c>
      <c r="F2402" s="3" t="s">
        <v>50</v>
      </c>
      <c r="G2402" s="3" t="s">
        <v>51</v>
      </c>
      <c r="H2402" s="2" t="s">
        <v>21</v>
      </c>
      <c r="I2402" s="2" t="s">
        <v>5722</v>
      </c>
      <c r="J2402" s="3" t="str">
        <f>HYPERLINK("https://www.boe.es/gazeta/dias/1817/11/18/pdfs/GMD-1817-138.pdf#page=8","Abrir facsímil")</f>
        <v>Abrir facsímil</v>
      </c>
      <c r="K2402" s="3" t="s">
        <v>23</v>
      </c>
    </row>
    <row r="2403" spans="1:11" ht="42" customHeight="1">
      <c r="A2403" s="2" t="s">
        <v>5723</v>
      </c>
      <c r="B2403" s="2" t="s">
        <v>5724</v>
      </c>
      <c r="C2403" s="2" t="s">
        <v>17</v>
      </c>
      <c r="D2403" s="2" t="s">
        <v>18</v>
      </c>
      <c r="E2403" s="5">
        <v>-30284</v>
      </c>
      <c r="F2403" s="3" t="s">
        <v>741</v>
      </c>
      <c r="G2403" s="3" t="s">
        <v>4681</v>
      </c>
      <c r="H2403" s="2" t="s">
        <v>21</v>
      </c>
      <c r="I2403" s="2" t="s">
        <v>5725</v>
      </c>
      <c r="J2403" s="3" t="str">
        <f>HYPERLINK("https://www.boe.es/gazeta/dias/1817/01/30/pdfs/GMD-1817-13.pdf#page=5","Abrir facsímil")</f>
        <v>Abrir facsímil</v>
      </c>
      <c r="K2403" s="3" t="s">
        <v>23</v>
      </c>
    </row>
    <row r="2404" spans="1:11" ht="42" customHeight="1">
      <c r="A2404" s="2" t="s">
        <v>5726</v>
      </c>
      <c r="B2404" s="2" t="s">
        <v>5727</v>
      </c>
      <c r="C2404" s="2" t="s">
        <v>36</v>
      </c>
      <c r="D2404" s="2" t="s">
        <v>37</v>
      </c>
      <c r="E2404" s="5">
        <v>-30081</v>
      </c>
      <c r="F2404" s="3" t="s">
        <v>133</v>
      </c>
      <c r="G2404" s="3" t="s">
        <v>20</v>
      </c>
      <c r="H2404" s="2" t="s">
        <v>21</v>
      </c>
      <c r="I2404" s="2" t="s">
        <v>5728</v>
      </c>
      <c r="J2404" s="3" t="str">
        <f>HYPERLINK("https://www.boe.es/gazeta/dias/1817/08/21/pdfs/GMD-1817-100.pdf#page=7","Abrir facsímil")</f>
        <v>Abrir facsímil</v>
      </c>
      <c r="K2404" s="3" t="s">
        <v>23</v>
      </c>
    </row>
    <row r="2405" spans="1:11" ht="42" customHeight="1">
      <c r="A2405" s="2" t="s">
        <v>5726</v>
      </c>
      <c r="B2405" s="2" t="s">
        <v>5727</v>
      </c>
      <c r="C2405" s="2" t="s">
        <v>36</v>
      </c>
      <c r="D2405" s="2" t="s">
        <v>37</v>
      </c>
      <c r="E2405" s="5">
        <v>-30081</v>
      </c>
      <c r="F2405" s="3" t="s">
        <v>133</v>
      </c>
      <c r="G2405" s="3" t="s">
        <v>77</v>
      </c>
      <c r="H2405" s="2" t="s">
        <v>21</v>
      </c>
      <c r="I2405" s="2" t="s">
        <v>5729</v>
      </c>
      <c r="J2405" s="3" t="str">
        <f>HYPERLINK("https://www.boe.es/gazeta/dias/1817/08/21/pdfs/GMD-1817-100.pdf#page=8","Abrir facsímil")</f>
        <v>Abrir facsímil</v>
      </c>
      <c r="K2405" s="3" t="s">
        <v>23</v>
      </c>
    </row>
    <row r="2406" spans="1:11" ht="42" customHeight="1">
      <c r="A2406" s="2" t="s">
        <v>5730</v>
      </c>
      <c r="B2406" s="2" t="s">
        <v>5730</v>
      </c>
      <c r="C2406" s="2" t="s">
        <v>36</v>
      </c>
      <c r="D2406" s="2" t="s">
        <v>37</v>
      </c>
      <c r="E2406" s="5">
        <v>-30046</v>
      </c>
      <c r="F2406" s="3" t="s">
        <v>214</v>
      </c>
      <c r="G2406" s="3" t="s">
        <v>551</v>
      </c>
      <c r="H2406" s="2" t="s">
        <v>21</v>
      </c>
      <c r="I2406" s="2" t="s">
        <v>5731</v>
      </c>
      <c r="J2406" s="3" t="str">
        <f>HYPERLINK("https://www.boe.es/gazeta/dias/1817/09/25/pdfs/GMD-1817-115.pdf#page=3","Abrir facsímil")</f>
        <v>Abrir facsímil</v>
      </c>
      <c r="K2406" s="3" t="s">
        <v>23</v>
      </c>
    </row>
    <row r="2407" spans="1:11" ht="42" customHeight="1">
      <c r="A2407" s="2" t="s">
        <v>5732</v>
      </c>
      <c r="B2407" s="2" t="s">
        <v>5733</v>
      </c>
      <c r="C2407" s="2" t="s">
        <v>43</v>
      </c>
      <c r="D2407" s="2" t="s">
        <v>44</v>
      </c>
      <c r="E2407" s="5">
        <v>-30018</v>
      </c>
      <c r="F2407" s="3" t="s">
        <v>757</v>
      </c>
      <c r="G2407" s="3" t="s">
        <v>77</v>
      </c>
      <c r="H2407" s="2" t="s">
        <v>21</v>
      </c>
      <c r="I2407" s="2" t="s">
        <v>5734</v>
      </c>
      <c r="J2407" s="3" t="str">
        <f>HYPERLINK("https://www.boe.es/gazeta/dias/1817/10/23/pdfs/GMD-1817-127.pdf#page=8","Abrir facsímil")</f>
        <v>Abrir facsímil</v>
      </c>
      <c r="K2407" s="3" t="s">
        <v>23</v>
      </c>
    </row>
    <row r="2408" spans="1:11" ht="42" customHeight="1">
      <c r="A2408" s="2" t="s">
        <v>5735</v>
      </c>
      <c r="B2408" s="2" t="s">
        <v>5735</v>
      </c>
      <c r="C2408" s="2" t="s">
        <v>43</v>
      </c>
      <c r="D2408" s="2" t="s">
        <v>44</v>
      </c>
      <c r="E2408" s="5">
        <v>-30272</v>
      </c>
      <c r="F2408" s="3" t="s">
        <v>493</v>
      </c>
      <c r="G2408" s="3" t="s">
        <v>39</v>
      </c>
      <c r="H2408" s="2" t="s">
        <v>21</v>
      </c>
      <c r="I2408" s="2" t="s">
        <v>5736</v>
      </c>
      <c r="J2408" s="3" t="str">
        <f>HYPERLINK("https://www.boe.es/gazeta/dias/1817/02/11/pdfs/GMD-1817-18.pdf#page=5","Abrir facsímil")</f>
        <v>Abrir facsímil</v>
      </c>
      <c r="K2408" s="3" t="s">
        <v>23</v>
      </c>
    </row>
    <row r="2409" spans="1:11" ht="42" customHeight="1">
      <c r="A2409" s="2" t="s">
        <v>5735</v>
      </c>
      <c r="B2409" s="2" t="s">
        <v>5735</v>
      </c>
      <c r="C2409" s="2" t="s">
        <v>36</v>
      </c>
      <c r="D2409" s="2" t="s">
        <v>37</v>
      </c>
      <c r="E2409" s="5">
        <v>-30261</v>
      </c>
      <c r="F2409" s="3" t="s">
        <v>226</v>
      </c>
      <c r="G2409" s="3" t="s">
        <v>20</v>
      </c>
      <c r="H2409" s="2" t="s">
        <v>21</v>
      </c>
      <c r="I2409" s="2" t="s">
        <v>5737</v>
      </c>
      <c r="J2409" s="3" t="str">
        <f>HYPERLINK("https://www.boe.es/gazeta/dias/1817/02/22/pdfs/GMD-1817-23.pdf#page=7","Abrir facsímil")</f>
        <v>Abrir facsímil</v>
      </c>
      <c r="K2409" s="3" t="s">
        <v>23</v>
      </c>
    </row>
    <row r="2410" spans="1:11" ht="42" customHeight="1">
      <c r="A2410" s="2" t="s">
        <v>5735</v>
      </c>
      <c r="B2410" s="2" t="s">
        <v>5735</v>
      </c>
      <c r="C2410" s="2" t="s">
        <v>17</v>
      </c>
      <c r="D2410" s="2" t="s">
        <v>18</v>
      </c>
      <c r="E2410" s="5">
        <v>-30221</v>
      </c>
      <c r="F2410" s="3" t="s">
        <v>256</v>
      </c>
      <c r="G2410" s="3" t="s">
        <v>77</v>
      </c>
      <c r="H2410" s="2" t="s">
        <v>21</v>
      </c>
      <c r="I2410" s="2" t="s">
        <v>5738</v>
      </c>
      <c r="J2410" s="3" t="str">
        <f>HYPERLINK("https://www.boe.es/gazeta/dias/1817/04/03/pdfs/GMD-1817-40.pdf#page=8","Abrir facsímil")</f>
        <v>Abrir facsímil</v>
      </c>
      <c r="K2410" s="3" t="s">
        <v>23</v>
      </c>
    </row>
    <row r="2411" spans="1:11" ht="42" customHeight="1">
      <c r="A2411" s="2" t="s">
        <v>5735</v>
      </c>
      <c r="B2411" s="2" t="s">
        <v>5735</v>
      </c>
      <c r="C2411" s="2" t="s">
        <v>36</v>
      </c>
      <c r="D2411" s="2" t="s">
        <v>37</v>
      </c>
      <c r="E2411" s="5">
        <v>-30188</v>
      </c>
      <c r="F2411" s="3" t="s">
        <v>177</v>
      </c>
      <c r="G2411" s="3" t="s">
        <v>144</v>
      </c>
      <c r="H2411" s="2" t="s">
        <v>21</v>
      </c>
      <c r="I2411" s="2" t="s">
        <v>5739</v>
      </c>
      <c r="J2411" s="3" t="str">
        <f>HYPERLINK("https://www.boe.es/gazeta/dias/1817/05/06/pdfs/GMD-1817-54.pdf#page=4","Abrir facsímil")</f>
        <v>Abrir facsímil</v>
      </c>
      <c r="K2411" s="3" t="s">
        <v>23</v>
      </c>
    </row>
    <row r="2412" spans="1:11" ht="42" customHeight="1">
      <c r="A2412" s="2" t="s">
        <v>5735</v>
      </c>
      <c r="B2412" s="2" t="s">
        <v>5735</v>
      </c>
      <c r="C2412" s="2" t="s">
        <v>17</v>
      </c>
      <c r="D2412" s="2" t="s">
        <v>18</v>
      </c>
      <c r="E2412" s="5">
        <v>-30137</v>
      </c>
      <c r="F2412" s="3" t="s">
        <v>935</v>
      </c>
      <c r="G2412" s="3" t="s">
        <v>20</v>
      </c>
      <c r="H2412" s="2" t="s">
        <v>21</v>
      </c>
      <c r="I2412" s="2" t="s">
        <v>5740</v>
      </c>
      <c r="J2412" s="3" t="str">
        <f>HYPERLINK("https://www.boe.es/gazeta/dias/1817/06/26/pdfs/GMD-1817-76.pdf#page=7","Abrir facsímil")</f>
        <v>Abrir facsímil</v>
      </c>
      <c r="K2412" s="3" t="s">
        <v>23</v>
      </c>
    </row>
    <row r="2413" spans="1:11" ht="42" customHeight="1">
      <c r="A2413" s="2" t="s">
        <v>5735</v>
      </c>
      <c r="B2413" s="2" t="s">
        <v>5735</v>
      </c>
      <c r="C2413" s="2" t="s">
        <v>17</v>
      </c>
      <c r="D2413" s="2" t="s">
        <v>18</v>
      </c>
      <c r="E2413" s="5">
        <v>-30132</v>
      </c>
      <c r="F2413" s="3" t="s">
        <v>718</v>
      </c>
      <c r="G2413" s="3" t="s">
        <v>144</v>
      </c>
      <c r="H2413" s="2" t="s">
        <v>21</v>
      </c>
      <c r="I2413" s="2" t="s">
        <v>5741</v>
      </c>
      <c r="J2413" s="3" t="str">
        <f>HYPERLINK("https://www.boe.es/gazeta/dias/1817/07/01/pdfs/GMD-1817-78.pdf#page=4","Abrir facsímil")</f>
        <v>Abrir facsímil</v>
      </c>
      <c r="K2413" s="3" t="s">
        <v>23</v>
      </c>
    </row>
    <row r="2414" spans="1:11" ht="42" customHeight="1">
      <c r="A2414" s="2" t="s">
        <v>5735</v>
      </c>
      <c r="B2414" s="2" t="s">
        <v>5735</v>
      </c>
      <c r="C2414" s="2" t="s">
        <v>36</v>
      </c>
      <c r="D2414" s="2" t="s">
        <v>37</v>
      </c>
      <c r="E2414" s="5">
        <v>-30116</v>
      </c>
      <c r="F2414" s="3" t="s">
        <v>319</v>
      </c>
      <c r="G2414" s="3" t="s">
        <v>39</v>
      </c>
      <c r="H2414" s="2" t="s">
        <v>21</v>
      </c>
      <c r="I2414" s="2" t="s">
        <v>5742</v>
      </c>
      <c r="J2414" s="3" t="str">
        <f>HYPERLINK("https://www.boe.es/gazeta/dias/1817/07/17/pdfs/GMD-1817-85.pdf#page=5","Abrir facsímil")</f>
        <v>Abrir facsímil</v>
      </c>
      <c r="K2414" s="3" t="s">
        <v>23</v>
      </c>
    </row>
    <row r="2415" spans="1:11" ht="42" customHeight="1">
      <c r="A2415" s="2" t="s">
        <v>5735</v>
      </c>
      <c r="B2415" s="2" t="s">
        <v>5735</v>
      </c>
      <c r="C2415" s="2" t="s">
        <v>138</v>
      </c>
      <c r="D2415" s="2" t="s">
        <v>44</v>
      </c>
      <c r="E2415" s="5">
        <v>-30114</v>
      </c>
      <c r="F2415" s="3" t="s">
        <v>500</v>
      </c>
      <c r="G2415" s="3" t="s">
        <v>77</v>
      </c>
      <c r="H2415" s="2" t="s">
        <v>21</v>
      </c>
      <c r="I2415" s="2" t="s">
        <v>5743</v>
      </c>
      <c r="J2415" s="3" t="str">
        <f>HYPERLINK("https://www.boe.es/gazeta/dias/1817/07/19/pdfs/GMD-1817-86.pdf#page=8","Abrir facsímil")</f>
        <v>Abrir facsímil</v>
      </c>
      <c r="K2415" s="3" t="s">
        <v>23</v>
      </c>
    </row>
    <row r="2416" spans="1:11" ht="42" customHeight="1">
      <c r="A2416" s="2" t="s">
        <v>5735</v>
      </c>
      <c r="B2416" s="2" t="s">
        <v>5735</v>
      </c>
      <c r="C2416" s="2" t="s">
        <v>17</v>
      </c>
      <c r="D2416" s="2" t="s">
        <v>18</v>
      </c>
      <c r="E2416" s="5">
        <v>-30081</v>
      </c>
      <c r="F2416" s="3" t="s">
        <v>133</v>
      </c>
      <c r="G2416" s="3" t="s">
        <v>112</v>
      </c>
      <c r="H2416" s="2" t="s">
        <v>21</v>
      </c>
      <c r="I2416" s="2" t="s">
        <v>5744</v>
      </c>
      <c r="J2416" s="3" t="str">
        <f>HYPERLINK("https://www.boe.es/gazeta/dias/1817/08/21/pdfs/GMD-1817-100.pdf#page=11","Abrir facsímil")</f>
        <v>Abrir facsímil</v>
      </c>
      <c r="K2416" s="3" t="s">
        <v>23</v>
      </c>
    </row>
    <row r="2417" spans="1:11" ht="42" customHeight="1">
      <c r="A2417" s="2" t="s">
        <v>5735</v>
      </c>
      <c r="B2417" s="2" t="s">
        <v>5735</v>
      </c>
      <c r="C2417" s="2" t="s">
        <v>17</v>
      </c>
      <c r="D2417" s="2" t="s">
        <v>18</v>
      </c>
      <c r="E2417" s="5">
        <v>-30074</v>
      </c>
      <c r="F2417" s="3" t="s">
        <v>368</v>
      </c>
      <c r="G2417" s="3" t="s">
        <v>112</v>
      </c>
      <c r="H2417" s="2" t="s">
        <v>21</v>
      </c>
      <c r="I2417" s="2" t="s">
        <v>5745</v>
      </c>
      <c r="J2417" s="3" t="str">
        <f>HYPERLINK("https://www.boe.es/gazeta/dias/1817/08/28/pdfs/GMD-1817-103.pdf#page=11","Abrir facsímil")</f>
        <v>Abrir facsímil</v>
      </c>
      <c r="K2417" s="3" t="s">
        <v>23</v>
      </c>
    </row>
    <row r="2418" spans="1:11" ht="42" customHeight="1">
      <c r="A2418" s="2" t="s">
        <v>5735</v>
      </c>
      <c r="B2418" s="2" t="s">
        <v>5735</v>
      </c>
      <c r="C2418" s="2" t="s">
        <v>138</v>
      </c>
      <c r="D2418" s="2" t="s">
        <v>44</v>
      </c>
      <c r="E2418" s="5">
        <v>-30069</v>
      </c>
      <c r="F2418" s="3" t="s">
        <v>817</v>
      </c>
      <c r="G2418" s="3" t="s">
        <v>818</v>
      </c>
      <c r="H2418" s="2" t="s">
        <v>21</v>
      </c>
      <c r="I2418" s="2" t="s">
        <v>5746</v>
      </c>
      <c r="J2418" s="3" t="str">
        <f>HYPERLINK("https://www.boe.es/gazeta/dias/1817/09/02/pdfs/GMD-1817-105.pdf#page=8","Abrir facsímil")</f>
        <v>Abrir facsímil</v>
      </c>
      <c r="K2418" s="3" t="s">
        <v>23</v>
      </c>
    </row>
    <row r="2419" spans="1:11" ht="42" customHeight="1">
      <c r="A2419" s="2" t="s">
        <v>5735</v>
      </c>
      <c r="B2419" s="2" t="s">
        <v>5735</v>
      </c>
      <c r="C2419" s="2" t="s">
        <v>17</v>
      </c>
      <c r="D2419" s="2" t="s">
        <v>18</v>
      </c>
      <c r="E2419" s="5">
        <v>-30065</v>
      </c>
      <c r="F2419" s="3" t="s">
        <v>201</v>
      </c>
      <c r="G2419" s="3" t="s">
        <v>57</v>
      </c>
      <c r="H2419" s="2" t="s">
        <v>21</v>
      </c>
      <c r="I2419" s="2" t="s">
        <v>5747</v>
      </c>
      <c r="J2419" s="3" t="str">
        <f>HYPERLINK("https://www.boe.es/gazeta/dias/1817/09/06/pdfs/GMD-1817-107.pdf#page=6","Abrir facsímil")</f>
        <v>Abrir facsímil</v>
      </c>
      <c r="K2419" s="3" t="s">
        <v>23</v>
      </c>
    </row>
    <row r="2420" spans="1:11" ht="42" customHeight="1">
      <c r="A2420" s="2" t="s">
        <v>5735</v>
      </c>
      <c r="B2420" s="2" t="s">
        <v>5735</v>
      </c>
      <c r="C2420" s="2" t="s">
        <v>97</v>
      </c>
      <c r="D2420" s="2" t="s">
        <v>44</v>
      </c>
      <c r="E2420" s="5">
        <v>-30018</v>
      </c>
      <c r="F2420" s="3" t="s">
        <v>757</v>
      </c>
      <c r="G2420" s="3" t="s">
        <v>77</v>
      </c>
      <c r="H2420" s="2" t="s">
        <v>21</v>
      </c>
      <c r="I2420" s="2" t="s">
        <v>5748</v>
      </c>
      <c r="J2420" s="3" t="str">
        <f>HYPERLINK("https://www.boe.es/gazeta/dias/1817/10/23/pdfs/GMD-1817-127.pdf#page=8","Abrir facsímil")</f>
        <v>Abrir facsímil</v>
      </c>
      <c r="K2420" s="3" t="s">
        <v>23</v>
      </c>
    </row>
    <row r="2421" spans="1:11" ht="42" customHeight="1">
      <c r="A2421" s="2" t="s">
        <v>5735</v>
      </c>
      <c r="B2421" s="2" t="s">
        <v>5735</v>
      </c>
      <c r="C2421" s="2" t="s">
        <v>36</v>
      </c>
      <c r="D2421" s="2" t="s">
        <v>37</v>
      </c>
      <c r="E2421" s="5">
        <v>-29983</v>
      </c>
      <c r="F2421" s="3" t="s">
        <v>148</v>
      </c>
      <c r="G2421" s="3" t="s">
        <v>149</v>
      </c>
      <c r="H2421" s="2" t="s">
        <v>21</v>
      </c>
      <c r="I2421" s="2" t="s">
        <v>5749</v>
      </c>
      <c r="J2421" s="3" t="str">
        <f>HYPERLINK("https://www.boe.es/gazeta/dias/1817/11/27/pdfs/GMD-1817-142.pdf#page=8","Abrir facsímil")</f>
        <v>Abrir facsímil</v>
      </c>
      <c r="K2421" s="3" t="s">
        <v>23</v>
      </c>
    </row>
    <row r="2422" spans="1:11" ht="42" customHeight="1">
      <c r="A2422" s="2" t="s">
        <v>5735</v>
      </c>
      <c r="B2422" s="2" t="s">
        <v>5735</v>
      </c>
      <c r="C2422" s="2" t="s">
        <v>36</v>
      </c>
      <c r="D2422" s="2" t="s">
        <v>37</v>
      </c>
      <c r="E2422" s="5">
        <v>-29978</v>
      </c>
      <c r="F2422" s="3" t="s">
        <v>478</v>
      </c>
      <c r="G2422" s="3" t="s">
        <v>77</v>
      </c>
      <c r="H2422" s="2" t="s">
        <v>21</v>
      </c>
      <c r="I2422" s="2" t="s">
        <v>5750</v>
      </c>
      <c r="J2422" s="3" t="str">
        <f>HYPERLINK("https://www.boe.es/gazeta/dias/1817/12/02/pdfs/GMD-1817-144.pdf#page=8","Abrir facsímil")</f>
        <v>Abrir facsímil</v>
      </c>
      <c r="K2422" s="3" t="s">
        <v>23</v>
      </c>
    </row>
    <row r="2423" spans="1:11" ht="42" customHeight="1">
      <c r="A2423" s="2" t="s">
        <v>5735</v>
      </c>
      <c r="B2423" s="2" t="s">
        <v>5735</v>
      </c>
      <c r="C2423" s="2" t="s">
        <v>36</v>
      </c>
      <c r="D2423" s="2" t="s">
        <v>37</v>
      </c>
      <c r="E2423" s="5">
        <v>-29953</v>
      </c>
      <c r="F2423" s="3" t="s">
        <v>793</v>
      </c>
      <c r="G2423" s="3" t="s">
        <v>794</v>
      </c>
      <c r="H2423" s="2" t="s">
        <v>21</v>
      </c>
      <c r="I2423" s="2" t="s">
        <v>5751</v>
      </c>
      <c r="J2423" s="3" t="str">
        <f>HYPERLINK("https://www.boe.es/gazeta/dias/1817/12/27/pdfs/GMD-1817-155.pdf#page=8","Abrir facsímil")</f>
        <v>Abrir facsímil</v>
      </c>
      <c r="K2423" s="3" t="s">
        <v>23</v>
      </c>
    </row>
    <row r="2424" spans="1:11" ht="42" customHeight="1">
      <c r="A2424" s="2" t="s">
        <v>5735</v>
      </c>
      <c r="B2424" s="2" t="s">
        <v>5735</v>
      </c>
      <c r="C2424" s="2" t="s">
        <v>55</v>
      </c>
      <c r="D2424" s="2" t="s">
        <v>44</v>
      </c>
      <c r="E2424" s="5">
        <v>-29950</v>
      </c>
      <c r="F2424" s="3" t="s">
        <v>185</v>
      </c>
      <c r="G2424" s="3" t="s">
        <v>39</v>
      </c>
      <c r="H2424" s="2" t="s">
        <v>21</v>
      </c>
      <c r="I2424" s="2" t="s">
        <v>5752</v>
      </c>
      <c r="J2424" s="3" t="str">
        <f>HYPERLINK("https://www.boe.es/gazeta/dias/1817/12/30/pdfs/GMD-1817-156.pdf#page=5","Abrir facsímil")</f>
        <v>Abrir facsímil</v>
      </c>
      <c r="K2424" s="3" t="s">
        <v>23</v>
      </c>
    </row>
    <row r="2425" spans="1:11" ht="42" customHeight="1">
      <c r="A2425" s="2" t="s">
        <v>5735</v>
      </c>
      <c r="B2425" s="2" t="s">
        <v>5735</v>
      </c>
      <c r="C2425" s="2" t="s">
        <v>17</v>
      </c>
      <c r="D2425" s="2" t="s">
        <v>18</v>
      </c>
      <c r="E2425" s="5">
        <v>-29950</v>
      </c>
      <c r="F2425" s="3" t="s">
        <v>185</v>
      </c>
      <c r="G2425" s="3" t="s">
        <v>57</v>
      </c>
      <c r="H2425" s="2" t="s">
        <v>21</v>
      </c>
      <c r="I2425" s="2" t="s">
        <v>5753</v>
      </c>
      <c r="J2425" s="3" t="str">
        <f>HYPERLINK("https://www.boe.es/gazeta/dias/1817/12/30/pdfs/GMD-1817-156.pdf#page=6","Abrir facsímil")</f>
        <v>Abrir facsímil</v>
      </c>
      <c r="K2425" s="3" t="s">
        <v>23</v>
      </c>
    </row>
    <row r="2426" spans="1:11" ht="42" customHeight="1">
      <c r="A2426" s="2" t="s">
        <v>5754</v>
      </c>
      <c r="B2426" s="2" t="s">
        <v>5754</v>
      </c>
      <c r="C2426" s="2" t="s">
        <v>36</v>
      </c>
      <c r="D2426" s="2" t="s">
        <v>37</v>
      </c>
      <c r="E2426" s="5">
        <v>-30090</v>
      </c>
      <c r="F2426" s="3" t="s">
        <v>89</v>
      </c>
      <c r="G2426" s="3" t="s">
        <v>20</v>
      </c>
      <c r="H2426" s="2" t="s">
        <v>21</v>
      </c>
      <c r="I2426" s="2" t="s">
        <v>5755</v>
      </c>
      <c r="J2426" s="3" t="str">
        <f>HYPERLINK("https://www.boe.es/gazeta/dias/1817/08/12/pdfs/GMD-1817-96.pdf#page=7","Abrir facsímil")</f>
        <v>Abrir facsímil</v>
      </c>
      <c r="K2426" s="3" t="s">
        <v>23</v>
      </c>
    </row>
    <row r="2427" spans="1:11" ht="42" customHeight="1">
      <c r="A2427" s="2" t="s">
        <v>5754</v>
      </c>
      <c r="B2427" s="2" t="s">
        <v>5754</v>
      </c>
      <c r="C2427" s="2" t="s">
        <v>17</v>
      </c>
      <c r="D2427" s="2" t="s">
        <v>18</v>
      </c>
      <c r="E2427" s="5">
        <v>-30037</v>
      </c>
      <c r="F2427" s="3" t="s">
        <v>453</v>
      </c>
      <c r="G2427" s="3" t="s">
        <v>77</v>
      </c>
      <c r="H2427" s="2" t="s">
        <v>21</v>
      </c>
      <c r="I2427" s="2" t="s">
        <v>5756</v>
      </c>
      <c r="J2427" s="3" t="str">
        <f>HYPERLINK("https://www.boe.es/gazeta/dias/1817/10/04/pdfs/GMD-1817-119.pdf#page=8","Abrir facsímil")</f>
        <v>Abrir facsímil</v>
      </c>
      <c r="K2427" s="3" t="s">
        <v>23</v>
      </c>
    </row>
    <row r="2428" spans="1:11" ht="42" customHeight="1">
      <c r="A2428" s="2" t="s">
        <v>5757</v>
      </c>
      <c r="B2428" s="2" t="s">
        <v>5758</v>
      </c>
      <c r="C2428" s="2" t="s">
        <v>36</v>
      </c>
      <c r="D2428" s="2" t="s">
        <v>37</v>
      </c>
      <c r="E2428" s="5">
        <v>-30046</v>
      </c>
      <c r="F2428" s="3" t="s">
        <v>214</v>
      </c>
      <c r="G2428" s="3" t="s">
        <v>275</v>
      </c>
      <c r="H2428" s="2" t="s">
        <v>21</v>
      </c>
      <c r="I2428" s="2" t="s">
        <v>5759</v>
      </c>
      <c r="J2428" s="3" t="str">
        <f>HYPERLINK("https://www.boe.es/gazeta/dias/1817/09/25/pdfs/GMD-1817-115.pdf#page=12","Abrir facsímil")</f>
        <v>Abrir facsímil</v>
      </c>
      <c r="K2428" s="3" t="s">
        <v>23</v>
      </c>
    </row>
    <row r="2429" spans="1:11" ht="42" customHeight="1">
      <c r="A2429" s="2" t="s">
        <v>5760</v>
      </c>
      <c r="B2429" s="2" t="s">
        <v>5761</v>
      </c>
      <c r="C2429" s="2" t="s">
        <v>510</v>
      </c>
      <c r="D2429" s="2" t="s">
        <v>44</v>
      </c>
      <c r="E2429" s="5">
        <v>-30111</v>
      </c>
      <c r="F2429" s="3" t="s">
        <v>1017</v>
      </c>
      <c r="G2429" s="3" t="s">
        <v>20</v>
      </c>
      <c r="H2429" s="2" t="s">
        <v>21</v>
      </c>
      <c r="I2429" s="2" t="s">
        <v>5762</v>
      </c>
      <c r="J2429" s="3" t="str">
        <f>HYPERLINK("https://www.boe.es/gazeta/dias/1817/07/22/pdfs/GMD-1817-87.pdf#page=7","Abrir facsímil")</f>
        <v>Abrir facsímil</v>
      </c>
      <c r="K2429" s="3" t="s">
        <v>23</v>
      </c>
    </row>
    <row r="2430" spans="1:11" ht="42" customHeight="1">
      <c r="A2430" s="2" t="s">
        <v>5763</v>
      </c>
      <c r="B2430" s="2" t="s">
        <v>5764</v>
      </c>
      <c r="C2430" s="2" t="s">
        <v>43</v>
      </c>
      <c r="D2430" s="2" t="s">
        <v>44</v>
      </c>
      <c r="E2430" s="5">
        <v>-30307</v>
      </c>
      <c r="F2430" s="3" t="s">
        <v>67</v>
      </c>
      <c r="G2430" s="3" t="s">
        <v>68</v>
      </c>
      <c r="H2430" s="2" t="s">
        <v>27</v>
      </c>
      <c r="I2430" s="2" t="s">
        <v>5765</v>
      </c>
      <c r="J2430" s="3" t="str">
        <f>HYPERLINK("https://www.boe.es/gazeta/dias/1817/01/07/pdfs/GMD-1817-3.pdf#page=8","Abrir facsímil")</f>
        <v>Abrir facsímil</v>
      </c>
      <c r="K2430" s="3" t="s">
        <v>29</v>
      </c>
    </row>
    <row r="2431" spans="1:11" ht="42" customHeight="1">
      <c r="A2431" s="2" t="s">
        <v>5766</v>
      </c>
      <c r="B2431" s="2" t="s">
        <v>5767</v>
      </c>
      <c r="C2431" s="2" t="s">
        <v>36</v>
      </c>
      <c r="D2431" s="2" t="s">
        <v>37</v>
      </c>
      <c r="E2431" s="5">
        <v>-30195</v>
      </c>
      <c r="F2431" s="3" t="s">
        <v>1163</v>
      </c>
      <c r="G2431" s="3" t="s">
        <v>3815</v>
      </c>
      <c r="H2431" s="2" t="s">
        <v>21</v>
      </c>
      <c r="I2431" s="2" t="s">
        <v>5768</v>
      </c>
      <c r="J2431" s="3" t="str">
        <f>HYPERLINK("https://www.boe.es/gazeta/dias/1817/04/29/pdfs/GMD-1817-51.pdf#page=7","Abrir facsímil")</f>
        <v>Abrir facsímil</v>
      </c>
      <c r="K2431" s="3" t="s">
        <v>23</v>
      </c>
    </row>
    <row r="2432" spans="1:11" ht="42" customHeight="1">
      <c r="A2432" s="2" t="s">
        <v>5769</v>
      </c>
      <c r="B2432" s="2" t="s">
        <v>5769</v>
      </c>
      <c r="C2432" s="2" t="s">
        <v>17</v>
      </c>
      <c r="D2432" s="2" t="s">
        <v>18</v>
      </c>
      <c r="E2432" s="5">
        <v>-30065</v>
      </c>
      <c r="F2432" s="3" t="s">
        <v>201</v>
      </c>
      <c r="G2432" s="3" t="s">
        <v>57</v>
      </c>
      <c r="H2432" s="2" t="s">
        <v>21</v>
      </c>
      <c r="I2432" s="2" t="s">
        <v>5770</v>
      </c>
      <c r="J2432" s="3" t="str">
        <f>HYPERLINK("https://www.boe.es/gazeta/dias/1817/09/06/pdfs/GMD-1817-107.pdf#page=6","Abrir facsímil")</f>
        <v>Abrir facsímil</v>
      </c>
      <c r="K2432" s="3" t="s">
        <v>23</v>
      </c>
    </row>
    <row r="2433" spans="1:11" ht="42" customHeight="1">
      <c r="A2433" s="2" t="s">
        <v>5771</v>
      </c>
      <c r="B2433" s="2" t="s">
        <v>5772</v>
      </c>
      <c r="C2433" s="2" t="s">
        <v>138</v>
      </c>
      <c r="D2433" s="2" t="s">
        <v>44</v>
      </c>
      <c r="E2433" s="5">
        <v>-30027</v>
      </c>
      <c r="F2433" s="3" t="s">
        <v>173</v>
      </c>
      <c r="G2433" s="3" t="s">
        <v>77</v>
      </c>
      <c r="H2433" s="2" t="s">
        <v>21</v>
      </c>
      <c r="I2433" s="2" t="s">
        <v>5773</v>
      </c>
      <c r="J2433" s="3" t="str">
        <f>HYPERLINK("https://www.boe.es/gazeta/dias/1817/10/14/pdfs/GMD-1817-123.pdf#page=8","Abrir facsímil")</f>
        <v>Abrir facsímil</v>
      </c>
      <c r="K2433" s="3" t="s">
        <v>23</v>
      </c>
    </row>
    <row r="2434" spans="1:11" ht="42" customHeight="1">
      <c r="A2434" s="2" t="s">
        <v>5774</v>
      </c>
      <c r="B2434" s="2" t="s">
        <v>5775</v>
      </c>
      <c r="C2434" s="2" t="s">
        <v>36</v>
      </c>
      <c r="D2434" s="2" t="s">
        <v>37</v>
      </c>
      <c r="E2434" s="5">
        <v>-30065</v>
      </c>
      <c r="F2434" s="3" t="s">
        <v>201</v>
      </c>
      <c r="G2434" s="3" t="s">
        <v>20</v>
      </c>
      <c r="H2434" s="2" t="s">
        <v>21</v>
      </c>
      <c r="I2434" s="2" t="s">
        <v>5776</v>
      </c>
      <c r="J2434" s="3" t="str">
        <f>HYPERLINK("https://www.boe.es/gazeta/dias/1817/09/06/pdfs/GMD-1817-107.pdf#page=7","Abrir facsímil")</f>
        <v>Abrir facsímil</v>
      </c>
      <c r="K2434" s="3" t="s">
        <v>23</v>
      </c>
    </row>
    <row r="2435" spans="1:11" ht="42" customHeight="1">
      <c r="A2435" s="2" t="s">
        <v>5777</v>
      </c>
      <c r="B2435" s="2" t="s">
        <v>5778</v>
      </c>
      <c r="C2435" s="2" t="s">
        <v>36</v>
      </c>
      <c r="D2435" s="2" t="s">
        <v>37</v>
      </c>
      <c r="E2435" s="5">
        <v>-30062</v>
      </c>
      <c r="F2435" s="3" t="s">
        <v>444</v>
      </c>
      <c r="G2435" s="3" t="s">
        <v>20</v>
      </c>
      <c r="H2435" s="2" t="s">
        <v>21</v>
      </c>
      <c r="I2435" s="2" t="s">
        <v>5779</v>
      </c>
      <c r="J2435" s="3" t="str">
        <f>HYPERLINK("https://www.boe.es/gazeta/dias/1817/09/09/pdfs/GMD-1817-108.pdf#page=7","Abrir facsímil")</f>
        <v>Abrir facsímil</v>
      </c>
      <c r="K2435" s="3" t="s">
        <v>23</v>
      </c>
    </row>
    <row r="2436" spans="1:11" ht="42" customHeight="1">
      <c r="A2436" s="2" t="s">
        <v>5780</v>
      </c>
      <c r="B2436" s="2" t="s">
        <v>5781</v>
      </c>
      <c r="C2436" s="2" t="s">
        <v>43</v>
      </c>
      <c r="D2436" s="2" t="s">
        <v>44</v>
      </c>
      <c r="E2436" s="5">
        <v>-30027</v>
      </c>
      <c r="F2436" s="3" t="s">
        <v>173</v>
      </c>
      <c r="G2436" s="3" t="s">
        <v>77</v>
      </c>
      <c r="H2436" s="2" t="s">
        <v>21</v>
      </c>
      <c r="I2436" s="2" t="s">
        <v>5782</v>
      </c>
      <c r="J2436" s="3" t="str">
        <f>HYPERLINK("https://www.boe.es/gazeta/dias/1817/10/14/pdfs/GMD-1817-123.pdf#page=8","Abrir facsímil")</f>
        <v>Abrir facsímil</v>
      </c>
      <c r="K2436" s="3" t="s">
        <v>23</v>
      </c>
    </row>
    <row r="2437" spans="1:11" ht="42" customHeight="1">
      <c r="A2437" s="2" t="s">
        <v>5783</v>
      </c>
      <c r="B2437" s="2" t="s">
        <v>5784</v>
      </c>
      <c r="C2437" s="2" t="s">
        <v>55</v>
      </c>
      <c r="D2437" s="2" t="s">
        <v>44</v>
      </c>
      <c r="E2437" s="5">
        <v>-30149</v>
      </c>
      <c r="F2437" s="3" t="s">
        <v>430</v>
      </c>
      <c r="G2437" s="3" t="s">
        <v>77</v>
      </c>
      <c r="H2437" s="2" t="s">
        <v>21</v>
      </c>
      <c r="I2437" s="2" t="s">
        <v>5785</v>
      </c>
      <c r="J2437" s="3" t="str">
        <f>HYPERLINK("https://www.boe.es/gazeta/dias/1817/06/14/pdfs/GMD-1817-71.pdf#page=8","Abrir facsímil")</f>
        <v>Abrir facsímil</v>
      </c>
      <c r="K2437" s="3" t="s">
        <v>23</v>
      </c>
    </row>
    <row r="2438" spans="1:11" ht="42" customHeight="1">
      <c r="A2438" s="2" t="s">
        <v>5786</v>
      </c>
      <c r="B2438" s="2" t="s">
        <v>5786</v>
      </c>
      <c r="C2438" s="2" t="s">
        <v>49</v>
      </c>
      <c r="D2438" s="2" t="s">
        <v>44</v>
      </c>
      <c r="E2438" s="5">
        <v>-30240</v>
      </c>
      <c r="F2438" s="3" t="s">
        <v>347</v>
      </c>
      <c r="G2438" s="3" t="s">
        <v>3762</v>
      </c>
      <c r="H2438" s="2" t="s">
        <v>21</v>
      </c>
      <c r="I2438" s="2" t="s">
        <v>5787</v>
      </c>
      <c r="J2438" s="3" t="str">
        <f>HYPERLINK("https://www.boe.es/gazeta/dias/1817/03/15/pdfs/GMD-1817-32.pdf#page=5","Abrir facsímil")</f>
        <v>Abrir facsímil</v>
      </c>
      <c r="K2438" s="3" t="s">
        <v>23</v>
      </c>
    </row>
    <row r="2439" spans="1:11" ht="42" customHeight="1">
      <c r="A2439" s="2" t="s">
        <v>5788</v>
      </c>
      <c r="B2439" s="2" t="s">
        <v>5788</v>
      </c>
      <c r="C2439" s="2" t="s">
        <v>97</v>
      </c>
      <c r="D2439" s="2" t="s">
        <v>44</v>
      </c>
      <c r="E2439" s="5">
        <v>-30293</v>
      </c>
      <c r="F2439" s="3" t="s">
        <v>143</v>
      </c>
      <c r="G2439" s="3" t="s">
        <v>20</v>
      </c>
      <c r="H2439" s="2" t="s">
        <v>21</v>
      </c>
      <c r="I2439" s="2" t="s">
        <v>5789</v>
      </c>
      <c r="J2439" s="3" t="str">
        <f>HYPERLINK("https://www.boe.es/gazeta/dias/1817/01/21/pdfs/GMD-1817-9.pdf#page=7","Abrir facsímil")</f>
        <v>Abrir facsímil</v>
      </c>
      <c r="K2439" s="3" t="s">
        <v>23</v>
      </c>
    </row>
    <row r="2440" spans="1:11" ht="42" customHeight="1">
      <c r="A2440" s="2" t="s">
        <v>5788</v>
      </c>
      <c r="B2440" s="2" t="s">
        <v>5788</v>
      </c>
      <c r="C2440" s="2" t="s">
        <v>510</v>
      </c>
      <c r="D2440" s="2" t="s">
        <v>44</v>
      </c>
      <c r="E2440" s="5">
        <v>-30282</v>
      </c>
      <c r="F2440" s="3" t="s">
        <v>1049</v>
      </c>
      <c r="G2440" s="3" t="s">
        <v>2827</v>
      </c>
      <c r="H2440" s="2" t="s">
        <v>21</v>
      </c>
      <c r="I2440" s="2" t="s">
        <v>5790</v>
      </c>
      <c r="J2440" s="3" t="str">
        <f>HYPERLINK("https://www.boe.es/gazeta/dias/1817/02/01/pdfs/GMD-1817-14.pdf#page=8","Abrir facsímil")</f>
        <v>Abrir facsímil</v>
      </c>
      <c r="K2440" s="3" t="s">
        <v>23</v>
      </c>
    </row>
    <row r="2441" spans="1:11" ht="42" customHeight="1">
      <c r="A2441" s="2" t="s">
        <v>5788</v>
      </c>
      <c r="B2441" s="2" t="s">
        <v>5788</v>
      </c>
      <c r="C2441" s="2" t="s">
        <v>17</v>
      </c>
      <c r="D2441" s="2" t="s">
        <v>18</v>
      </c>
      <c r="E2441" s="5">
        <v>-30268</v>
      </c>
      <c r="F2441" s="3" t="s">
        <v>1160</v>
      </c>
      <c r="G2441" s="3" t="s">
        <v>39</v>
      </c>
      <c r="H2441" s="2" t="s">
        <v>21</v>
      </c>
      <c r="I2441" s="2" t="s">
        <v>5791</v>
      </c>
      <c r="J2441" s="3" t="str">
        <f>HYPERLINK("https://www.boe.es/gazeta/dias/1817/02/15/pdfs/GMD-1817-20.pdf#page=5","Abrir facsímil")</f>
        <v>Abrir facsímil</v>
      </c>
      <c r="K2441" s="3" t="s">
        <v>23</v>
      </c>
    </row>
    <row r="2442" spans="1:11" ht="42" customHeight="1">
      <c r="A2442" s="2" t="s">
        <v>5788</v>
      </c>
      <c r="B2442" s="2" t="s">
        <v>5788</v>
      </c>
      <c r="C2442" s="2" t="s">
        <v>43</v>
      </c>
      <c r="D2442" s="2" t="s">
        <v>44</v>
      </c>
      <c r="E2442" s="5">
        <v>-30265</v>
      </c>
      <c r="F2442" s="3" t="s">
        <v>107</v>
      </c>
      <c r="G2442" s="3" t="s">
        <v>997</v>
      </c>
      <c r="H2442" s="2" t="s">
        <v>21</v>
      </c>
      <c r="I2442" s="2" t="s">
        <v>5792</v>
      </c>
      <c r="J2442" s="3" t="str">
        <f>HYPERLINK("https://www.boe.es/gazeta/dias/1817/02/18/pdfs/GMD-1817-21.pdf#page=5","Abrir facsímil")</f>
        <v>Abrir facsímil</v>
      </c>
      <c r="K2442" s="3" t="s">
        <v>23</v>
      </c>
    </row>
    <row r="2443" spans="1:11" ht="42" customHeight="1">
      <c r="A2443" s="2" t="s">
        <v>5788</v>
      </c>
      <c r="B2443" s="2" t="s">
        <v>5788</v>
      </c>
      <c r="C2443" s="2" t="s">
        <v>36</v>
      </c>
      <c r="D2443" s="2" t="s">
        <v>37</v>
      </c>
      <c r="E2443" s="5">
        <v>-30184</v>
      </c>
      <c r="F2443" s="3" t="s">
        <v>423</v>
      </c>
      <c r="G2443" s="3" t="s">
        <v>39</v>
      </c>
      <c r="H2443" s="2" t="s">
        <v>21</v>
      </c>
      <c r="I2443" s="2" t="s">
        <v>5793</v>
      </c>
      <c r="J2443" s="3" t="str">
        <f>HYPERLINK("https://www.boe.es/gazeta/dias/1817/05/10/pdfs/GMD-1817-56.pdf#page=5","Abrir facsímil")</f>
        <v>Abrir facsímil</v>
      </c>
      <c r="K2443" s="3" t="s">
        <v>23</v>
      </c>
    </row>
    <row r="2444" spans="1:11" ht="42" customHeight="1">
      <c r="A2444" s="2" t="s">
        <v>5788</v>
      </c>
      <c r="B2444" s="2" t="s">
        <v>5788</v>
      </c>
      <c r="C2444" s="2" t="s">
        <v>17</v>
      </c>
      <c r="D2444" s="2" t="s">
        <v>18</v>
      </c>
      <c r="E2444" s="5">
        <v>-30184</v>
      </c>
      <c r="F2444" s="3" t="s">
        <v>423</v>
      </c>
      <c r="G2444" s="3" t="s">
        <v>20</v>
      </c>
      <c r="H2444" s="2" t="s">
        <v>21</v>
      </c>
      <c r="I2444" s="2" t="s">
        <v>5794</v>
      </c>
      <c r="J2444" s="3" t="str">
        <f>HYPERLINK("https://www.boe.es/gazeta/dias/1817/05/10/pdfs/GMD-1817-56.pdf#page=7","Abrir facsímil")</f>
        <v>Abrir facsímil</v>
      </c>
      <c r="K2444" s="3" t="s">
        <v>23</v>
      </c>
    </row>
    <row r="2445" spans="1:11" ht="42" customHeight="1">
      <c r="A2445" s="2" t="s">
        <v>5788</v>
      </c>
      <c r="B2445" s="2" t="s">
        <v>5788</v>
      </c>
      <c r="C2445" s="2" t="s">
        <v>36</v>
      </c>
      <c r="D2445" s="2" t="s">
        <v>37</v>
      </c>
      <c r="E2445" s="5">
        <v>-30144</v>
      </c>
      <c r="F2445" s="3" t="s">
        <v>846</v>
      </c>
      <c r="G2445" s="3" t="s">
        <v>77</v>
      </c>
      <c r="H2445" s="2" t="s">
        <v>21</v>
      </c>
      <c r="I2445" s="2" t="s">
        <v>5795</v>
      </c>
      <c r="J2445" s="3" t="str">
        <f>HYPERLINK("https://www.boe.es/gazeta/dias/1817/06/19/pdfs/GMD-1817-73.pdf#page=8","Abrir facsímil")</f>
        <v>Abrir facsímil</v>
      </c>
      <c r="K2445" s="3" t="s">
        <v>23</v>
      </c>
    </row>
    <row r="2446" spans="1:11" ht="42" customHeight="1">
      <c r="A2446" s="2" t="s">
        <v>5788</v>
      </c>
      <c r="B2446" s="2" t="s">
        <v>5788</v>
      </c>
      <c r="C2446" s="2" t="s">
        <v>43</v>
      </c>
      <c r="D2446" s="2" t="s">
        <v>44</v>
      </c>
      <c r="E2446" s="5">
        <v>-30114</v>
      </c>
      <c r="F2446" s="3" t="s">
        <v>500</v>
      </c>
      <c r="G2446" s="3" t="s">
        <v>20</v>
      </c>
      <c r="H2446" s="2" t="s">
        <v>21</v>
      </c>
      <c r="I2446" s="2" t="s">
        <v>5796</v>
      </c>
      <c r="J2446" s="3" t="str">
        <f>HYPERLINK("https://www.boe.es/gazeta/dias/1817/07/19/pdfs/GMD-1817-86.pdf#page=7","Abrir facsímil")</f>
        <v>Abrir facsímil</v>
      </c>
      <c r="K2446" s="3" t="s">
        <v>23</v>
      </c>
    </row>
    <row r="2447" spans="1:11" ht="42" customHeight="1">
      <c r="A2447" s="2" t="s">
        <v>5788</v>
      </c>
      <c r="B2447" s="2" t="s">
        <v>5788</v>
      </c>
      <c r="C2447" s="2" t="s">
        <v>17</v>
      </c>
      <c r="D2447" s="2" t="s">
        <v>18</v>
      </c>
      <c r="E2447" s="5">
        <v>-30062</v>
      </c>
      <c r="F2447" s="3" t="s">
        <v>444</v>
      </c>
      <c r="G2447" s="3" t="s">
        <v>82</v>
      </c>
      <c r="H2447" s="2" t="s">
        <v>21</v>
      </c>
      <c r="I2447" s="2" t="s">
        <v>5797</v>
      </c>
      <c r="J2447" s="3" t="str">
        <f>HYPERLINK("https://www.boe.es/gazeta/dias/1817/09/09/pdfs/GMD-1817-108.pdf#page=12","Abrir facsímil")</f>
        <v>Abrir facsímil</v>
      </c>
      <c r="K2447" s="3" t="s">
        <v>23</v>
      </c>
    </row>
    <row r="2448" spans="1:11" ht="42" customHeight="1">
      <c r="A2448" s="2" t="s">
        <v>5788</v>
      </c>
      <c r="B2448" s="2" t="s">
        <v>5788</v>
      </c>
      <c r="C2448" s="2" t="s">
        <v>36</v>
      </c>
      <c r="D2448" s="2" t="s">
        <v>37</v>
      </c>
      <c r="E2448" s="5">
        <v>-30013</v>
      </c>
      <c r="F2448" s="3" t="s">
        <v>464</v>
      </c>
      <c r="G2448" s="3" t="s">
        <v>57</v>
      </c>
      <c r="H2448" s="2" t="s">
        <v>21</v>
      </c>
      <c r="I2448" s="2" t="s">
        <v>5798</v>
      </c>
      <c r="J2448" s="3" t="str">
        <f>HYPERLINK("https://www.boe.es/gazeta/dias/1817/10/28/pdfs/GMD-1817-129.pdf#page=6","Abrir facsímil")</f>
        <v>Abrir facsímil</v>
      </c>
      <c r="K2448" s="3" t="s">
        <v>23</v>
      </c>
    </row>
    <row r="2449" spans="1:11" ht="42" customHeight="1">
      <c r="A2449" s="2" t="s">
        <v>5788</v>
      </c>
      <c r="B2449" s="2" t="s">
        <v>5788</v>
      </c>
      <c r="C2449" s="2" t="s">
        <v>17</v>
      </c>
      <c r="D2449" s="2" t="s">
        <v>18</v>
      </c>
      <c r="E2449" s="5">
        <v>-29976</v>
      </c>
      <c r="F2449" s="3" t="s">
        <v>81</v>
      </c>
      <c r="G2449" s="3" t="s">
        <v>82</v>
      </c>
      <c r="H2449" s="2" t="s">
        <v>21</v>
      </c>
      <c r="I2449" s="2" t="s">
        <v>5799</v>
      </c>
      <c r="J2449" s="3" t="str">
        <f>HYPERLINK("https://www.boe.es/gazeta/dias/1817/12/04/pdfs/GMD-1817-145.pdf#page=12","Abrir facsímil")</f>
        <v>Abrir facsímil</v>
      </c>
      <c r="K2449" s="3" t="s">
        <v>23</v>
      </c>
    </row>
    <row r="2450" spans="1:11" ht="42" customHeight="1">
      <c r="A2450" s="2" t="s">
        <v>5800</v>
      </c>
      <c r="B2450" s="2" t="s">
        <v>5801</v>
      </c>
      <c r="C2450" s="2" t="s">
        <v>55</v>
      </c>
      <c r="D2450" s="2" t="s">
        <v>44</v>
      </c>
      <c r="E2450" s="5">
        <v>-30058</v>
      </c>
      <c r="F2450" s="3" t="s">
        <v>1385</v>
      </c>
      <c r="G2450" s="3" t="s">
        <v>82</v>
      </c>
      <c r="H2450" s="2" t="s">
        <v>21</v>
      </c>
      <c r="I2450" s="2" t="s">
        <v>5802</v>
      </c>
      <c r="J2450" s="3" t="str">
        <f>HYPERLINK("https://www.boe.es/gazeta/dias/1817/09/13/pdfs/GMD-1817-110.pdf#page=12","Abrir facsímil")</f>
        <v>Abrir facsímil</v>
      </c>
      <c r="K2450" s="3" t="s">
        <v>23</v>
      </c>
    </row>
    <row r="2451" spans="1:11" ht="42" customHeight="1">
      <c r="A2451" s="2" t="s">
        <v>5803</v>
      </c>
      <c r="B2451" s="2" t="s">
        <v>5804</v>
      </c>
      <c r="C2451" s="2" t="s">
        <v>36</v>
      </c>
      <c r="D2451" s="2" t="s">
        <v>37</v>
      </c>
      <c r="E2451" s="5">
        <v>-30296</v>
      </c>
      <c r="F2451" s="3" t="s">
        <v>357</v>
      </c>
      <c r="G2451" s="3" t="s">
        <v>112</v>
      </c>
      <c r="H2451" s="2" t="s">
        <v>21</v>
      </c>
      <c r="I2451" s="2" t="s">
        <v>5805</v>
      </c>
      <c r="J2451" s="3" t="str">
        <f>HYPERLINK("https://www.boe.es/gazeta/dias/1817/01/18/pdfs/GMD-1817-8.pdf#page=11","Abrir facsímil")</f>
        <v>Abrir facsímil</v>
      </c>
      <c r="K2451" s="3" t="s">
        <v>23</v>
      </c>
    </row>
    <row r="2452" spans="1:11" ht="42" customHeight="1">
      <c r="A2452" s="2" t="s">
        <v>5806</v>
      </c>
      <c r="B2452" s="2" t="s">
        <v>5807</v>
      </c>
      <c r="C2452" s="2" t="s">
        <v>49</v>
      </c>
      <c r="D2452" s="2" t="s">
        <v>44</v>
      </c>
      <c r="E2452" s="5">
        <v>-29964</v>
      </c>
      <c r="F2452" s="3" t="s">
        <v>482</v>
      </c>
      <c r="G2452" s="3" t="s">
        <v>77</v>
      </c>
      <c r="H2452" s="2" t="s">
        <v>21</v>
      </c>
      <c r="I2452" s="2" t="s">
        <v>5808</v>
      </c>
      <c r="J2452" s="3" t="str">
        <f>HYPERLINK("https://www.boe.es/gazeta/dias/1817/12/16/pdfs/GMD-1817-150.pdf#page=8","Abrir facsímil")</f>
        <v>Abrir facsímil</v>
      </c>
      <c r="K2452" s="3" t="s">
        <v>23</v>
      </c>
    </row>
    <row r="2453" spans="1:11" ht="42" customHeight="1">
      <c r="A2453" s="2" t="s">
        <v>5809</v>
      </c>
      <c r="B2453" s="2" t="s">
        <v>5810</v>
      </c>
      <c r="C2453" s="2" t="s">
        <v>36</v>
      </c>
      <c r="D2453" s="2" t="s">
        <v>37</v>
      </c>
      <c r="E2453" s="5">
        <v>-29964</v>
      </c>
      <c r="F2453" s="3" t="s">
        <v>482</v>
      </c>
      <c r="G2453" s="3" t="s">
        <v>20</v>
      </c>
      <c r="H2453" s="2" t="s">
        <v>21</v>
      </c>
      <c r="I2453" s="2" t="s">
        <v>5811</v>
      </c>
      <c r="J2453" s="3" t="str">
        <f>HYPERLINK("https://www.boe.es/gazeta/dias/1817/12/16/pdfs/GMD-1817-150.pdf#page=7","Abrir facsímil")</f>
        <v>Abrir facsímil</v>
      </c>
      <c r="K2453" s="3" t="s">
        <v>23</v>
      </c>
    </row>
    <row r="2454" spans="1:11" ht="42" customHeight="1">
      <c r="A2454" s="2" t="s">
        <v>5812</v>
      </c>
      <c r="B2454" s="2" t="s">
        <v>5813</v>
      </c>
      <c r="C2454" s="2" t="s">
        <v>43</v>
      </c>
      <c r="D2454" s="2" t="s">
        <v>44</v>
      </c>
      <c r="E2454" s="5">
        <v>-30207</v>
      </c>
      <c r="F2454" s="3" t="s">
        <v>1139</v>
      </c>
      <c r="G2454" s="3" t="s">
        <v>1140</v>
      </c>
      <c r="H2454" s="2" t="s">
        <v>21</v>
      </c>
      <c r="I2454" s="2" t="s">
        <v>5814</v>
      </c>
      <c r="J2454" s="3" t="str">
        <f>HYPERLINK("https://www.boe.es/gazeta/dias/1817/04/17/pdfs/GMD-1817-46.pdf#page=8","Abrir facsímil")</f>
        <v>Abrir facsímil</v>
      </c>
      <c r="K2454" s="3" t="s">
        <v>23</v>
      </c>
    </row>
    <row r="2455" spans="1:11" ht="42" customHeight="1">
      <c r="A2455" s="2" t="s">
        <v>5815</v>
      </c>
      <c r="B2455" s="2" t="s">
        <v>5816</v>
      </c>
      <c r="C2455" s="2" t="s">
        <v>36</v>
      </c>
      <c r="D2455" s="2" t="s">
        <v>37</v>
      </c>
      <c r="E2455" s="5">
        <v>-30200</v>
      </c>
      <c r="F2455" s="3" t="s">
        <v>725</v>
      </c>
      <c r="G2455" s="3" t="s">
        <v>5817</v>
      </c>
      <c r="H2455" s="2" t="s">
        <v>21</v>
      </c>
      <c r="I2455" s="2" t="s">
        <v>5818</v>
      </c>
      <c r="J2455" s="3" t="str">
        <f>HYPERLINK("https://www.boe.es/gazeta/dias/1817/04/24/pdfs/GMD-1817-49.pdf#page=5","Abrir facsímil")</f>
        <v>Abrir facsímil</v>
      </c>
      <c r="K2455" s="3" t="s">
        <v>23</v>
      </c>
    </row>
    <row r="2456" spans="1:11" ht="42" customHeight="1">
      <c r="A2456" s="2" t="s">
        <v>5819</v>
      </c>
      <c r="B2456" s="2" t="s">
        <v>5820</v>
      </c>
      <c r="C2456" s="2" t="s">
        <v>17</v>
      </c>
      <c r="D2456" s="2" t="s">
        <v>18</v>
      </c>
      <c r="E2456" s="5">
        <v>-30233</v>
      </c>
      <c r="F2456" s="3" t="s">
        <v>577</v>
      </c>
      <c r="G2456" s="3" t="s">
        <v>20</v>
      </c>
      <c r="H2456" s="2" t="s">
        <v>21</v>
      </c>
      <c r="I2456" s="2" t="s">
        <v>5821</v>
      </c>
      <c r="J2456" s="3" t="str">
        <f>HYPERLINK("https://www.boe.es/gazeta/dias/1817/03/22/pdfs/GMD-1817-35.pdf#page=7","Abrir facsímil")</f>
        <v>Abrir facsímil</v>
      </c>
      <c r="K2456" s="3" t="s">
        <v>23</v>
      </c>
    </row>
    <row r="2457" spans="1:11" ht="42" customHeight="1">
      <c r="A2457" s="2" t="s">
        <v>5822</v>
      </c>
      <c r="B2457" s="2" t="s">
        <v>5823</v>
      </c>
      <c r="C2457" s="2" t="s">
        <v>17</v>
      </c>
      <c r="D2457" s="2" t="s">
        <v>18</v>
      </c>
      <c r="E2457" s="5">
        <v>-30282</v>
      </c>
      <c r="F2457" s="3" t="s">
        <v>1049</v>
      </c>
      <c r="G2457" s="3" t="s">
        <v>144</v>
      </c>
      <c r="H2457" s="2" t="s">
        <v>21</v>
      </c>
      <c r="I2457" s="2" t="s">
        <v>5824</v>
      </c>
      <c r="J2457" s="3" t="str">
        <f>HYPERLINK("https://www.boe.es/gazeta/dias/1817/02/01/pdfs/GMD-1817-14.pdf#page=4","Abrir facsímil")</f>
        <v>Abrir facsímil</v>
      </c>
      <c r="K2457" s="3" t="s">
        <v>23</v>
      </c>
    </row>
    <row r="2458" spans="1:11" ht="42" customHeight="1">
      <c r="A2458" s="2" t="s">
        <v>5825</v>
      </c>
      <c r="B2458" s="2" t="s">
        <v>5826</v>
      </c>
      <c r="C2458" s="2" t="s">
        <v>97</v>
      </c>
      <c r="D2458" s="2" t="s">
        <v>44</v>
      </c>
      <c r="E2458" s="5">
        <v>-30293</v>
      </c>
      <c r="F2458" s="3" t="s">
        <v>143</v>
      </c>
      <c r="G2458" s="3" t="s">
        <v>20</v>
      </c>
      <c r="H2458" s="2" t="s">
        <v>21</v>
      </c>
      <c r="I2458" s="2" t="s">
        <v>5827</v>
      </c>
      <c r="J2458" s="3" t="str">
        <f>HYPERLINK("https://www.boe.es/gazeta/dias/1817/01/21/pdfs/GMD-1817-9.pdf#page=7","Abrir facsímil")</f>
        <v>Abrir facsímil</v>
      </c>
      <c r="K2458" s="3" t="s">
        <v>23</v>
      </c>
    </row>
    <row r="2459" spans="1:11" ht="42" customHeight="1">
      <c r="A2459" s="2" t="s">
        <v>5828</v>
      </c>
      <c r="B2459" s="2" t="s">
        <v>5829</v>
      </c>
      <c r="C2459" s="2" t="s">
        <v>17</v>
      </c>
      <c r="D2459" s="2" t="s">
        <v>18</v>
      </c>
      <c r="E2459" s="5">
        <v>-30226</v>
      </c>
      <c r="F2459" s="3" t="s">
        <v>416</v>
      </c>
      <c r="G2459" s="3" t="s">
        <v>629</v>
      </c>
      <c r="H2459" s="2" t="s">
        <v>21</v>
      </c>
      <c r="I2459" s="2" t="s">
        <v>5830</v>
      </c>
      <c r="J2459" s="3" t="str">
        <f>HYPERLINK("https://www.boe.es/gazeta/dias/1817/03/29/pdfs/GMD-1817-38.pdf#page=2","Abrir facsímil")</f>
        <v>Abrir facsímil</v>
      </c>
      <c r="K2459" s="3" t="s">
        <v>23</v>
      </c>
    </row>
    <row r="2460" spans="1:11" ht="42" customHeight="1">
      <c r="A2460" s="2" t="s">
        <v>5831</v>
      </c>
      <c r="B2460" s="2" t="s">
        <v>5832</v>
      </c>
      <c r="C2460" s="2" t="s">
        <v>17</v>
      </c>
      <c r="D2460" s="2" t="s">
        <v>18</v>
      </c>
      <c r="E2460" s="5">
        <v>-30230</v>
      </c>
      <c r="F2460" s="3" t="s">
        <v>189</v>
      </c>
      <c r="G2460" s="3" t="s">
        <v>2911</v>
      </c>
      <c r="H2460" s="2" t="s">
        <v>21</v>
      </c>
      <c r="I2460" s="2" t="s">
        <v>5833</v>
      </c>
      <c r="J2460" s="3" t="str">
        <f>HYPERLINK("https://www.boe.es/gazeta/dias/1817/03/25/pdfs/GMD-1817-36.pdf#page=6","Abrir facsímil")</f>
        <v>Abrir facsímil</v>
      </c>
      <c r="K2460" s="3" t="s">
        <v>23</v>
      </c>
    </row>
    <row r="2461" spans="1:11" ht="42" customHeight="1">
      <c r="A2461" s="2" t="s">
        <v>5831</v>
      </c>
      <c r="B2461" s="2" t="s">
        <v>5832</v>
      </c>
      <c r="C2461" s="2" t="s">
        <v>17</v>
      </c>
      <c r="D2461" s="2" t="s">
        <v>18</v>
      </c>
      <c r="E2461" s="5">
        <v>-30083</v>
      </c>
      <c r="F2461" s="3" t="s">
        <v>1273</v>
      </c>
      <c r="G2461" s="3" t="s">
        <v>5834</v>
      </c>
      <c r="H2461" s="2" t="s">
        <v>21</v>
      </c>
      <c r="I2461" s="2" t="s">
        <v>5835</v>
      </c>
      <c r="J2461" s="3" t="str">
        <f>HYPERLINK("https://www.boe.es/gazeta/dias/1817/08/19/pdfs/GMD-1817-99.pdf#page=6","Abrir facsímil")</f>
        <v>Abrir facsímil</v>
      </c>
      <c r="K2461" s="3" t="s">
        <v>23</v>
      </c>
    </row>
    <row r="2462" spans="1:11" ht="42" customHeight="1">
      <c r="A2462" s="2" t="s">
        <v>5836</v>
      </c>
      <c r="B2462" s="2" t="s">
        <v>5837</v>
      </c>
      <c r="C2462" s="2" t="s">
        <v>17</v>
      </c>
      <c r="D2462" s="2" t="s">
        <v>18</v>
      </c>
      <c r="E2462" s="5">
        <v>-29985</v>
      </c>
      <c r="F2462" s="3" t="s">
        <v>76</v>
      </c>
      <c r="G2462" s="3" t="s">
        <v>112</v>
      </c>
      <c r="H2462" s="2" t="s">
        <v>21</v>
      </c>
      <c r="I2462" s="2" t="s">
        <v>5838</v>
      </c>
      <c r="J2462" s="3" t="str">
        <f>HYPERLINK("https://www.boe.es/gazeta/dias/1817/11/25/pdfs/GMD-1817-141.pdf#page=11","Abrir facsímil")</f>
        <v>Abrir facsímil</v>
      </c>
      <c r="K2462" s="3" t="s">
        <v>23</v>
      </c>
    </row>
    <row r="2463" spans="1:11" ht="42" customHeight="1">
      <c r="A2463" s="2" t="s">
        <v>5839</v>
      </c>
      <c r="B2463" s="2" t="s">
        <v>5840</v>
      </c>
      <c r="C2463" s="2" t="s">
        <v>36</v>
      </c>
      <c r="D2463" s="2" t="s">
        <v>37</v>
      </c>
      <c r="E2463" s="5">
        <v>-30090</v>
      </c>
      <c r="F2463" s="3" t="s">
        <v>89</v>
      </c>
      <c r="G2463" s="3" t="s">
        <v>39</v>
      </c>
      <c r="H2463" s="2" t="s">
        <v>21</v>
      </c>
      <c r="I2463" s="2" t="s">
        <v>5841</v>
      </c>
      <c r="J2463" s="3" t="str">
        <f>HYPERLINK("https://www.boe.es/gazeta/dias/1817/08/12/pdfs/GMD-1817-96.pdf#page=5","Abrir facsímil")</f>
        <v>Abrir facsímil</v>
      </c>
      <c r="K2463" s="3" t="s">
        <v>23</v>
      </c>
    </row>
    <row r="2464" spans="1:11" ht="42" customHeight="1">
      <c r="A2464" s="2" t="s">
        <v>5839</v>
      </c>
      <c r="B2464" s="2" t="s">
        <v>5840</v>
      </c>
      <c r="C2464" s="2" t="s">
        <v>36</v>
      </c>
      <c r="D2464" s="2" t="s">
        <v>37</v>
      </c>
      <c r="E2464" s="5">
        <v>-29985</v>
      </c>
      <c r="F2464" s="3" t="s">
        <v>76</v>
      </c>
      <c r="G2464" s="3" t="s">
        <v>39</v>
      </c>
      <c r="H2464" s="2" t="s">
        <v>21</v>
      </c>
      <c r="I2464" s="2" t="s">
        <v>5842</v>
      </c>
      <c r="J2464" s="3" t="str">
        <f>HYPERLINK("https://www.boe.es/gazeta/dias/1817/11/25/pdfs/GMD-1817-141.pdf#page=5","Abrir facsímil")</f>
        <v>Abrir facsímil</v>
      </c>
      <c r="K2464" s="3" t="s">
        <v>23</v>
      </c>
    </row>
    <row r="2465" spans="1:11" ht="42" customHeight="1">
      <c r="A2465" s="2" t="s">
        <v>5839</v>
      </c>
      <c r="B2465" s="2" t="s">
        <v>5840</v>
      </c>
      <c r="C2465" s="2" t="s">
        <v>36</v>
      </c>
      <c r="D2465" s="2" t="s">
        <v>37</v>
      </c>
      <c r="E2465" s="5">
        <v>-29985</v>
      </c>
      <c r="F2465" s="3" t="s">
        <v>76</v>
      </c>
      <c r="G2465" s="3" t="s">
        <v>57</v>
      </c>
      <c r="H2465" s="2" t="s">
        <v>21</v>
      </c>
      <c r="I2465" s="2" t="s">
        <v>5843</v>
      </c>
      <c r="J2465" s="3" t="str">
        <f>HYPERLINK("https://www.boe.es/gazeta/dias/1817/11/25/pdfs/GMD-1817-141.pdf#page=6","Abrir facsímil")</f>
        <v>Abrir facsímil</v>
      </c>
      <c r="K2465" s="3" t="s">
        <v>23</v>
      </c>
    </row>
    <row r="2466" spans="1:11" ht="42" customHeight="1">
      <c r="A2466" s="2" t="s">
        <v>5844</v>
      </c>
      <c r="B2466" s="2" t="s">
        <v>5845</v>
      </c>
      <c r="C2466" s="2" t="s">
        <v>138</v>
      </c>
      <c r="D2466" s="2" t="s">
        <v>44</v>
      </c>
      <c r="E2466" s="5">
        <v>-30310</v>
      </c>
      <c r="F2466" s="3" t="s">
        <v>93</v>
      </c>
      <c r="G2466" s="3" t="s">
        <v>39</v>
      </c>
      <c r="H2466" s="2" t="s">
        <v>21</v>
      </c>
      <c r="I2466" s="2" t="s">
        <v>5846</v>
      </c>
      <c r="J2466" s="3" t="str">
        <f>HYPERLINK("https://www.boe.es/gazeta/dias/1817/01/04/pdfs/GMD-1817-2.pdf#page=5","Abrir facsímil")</f>
        <v>Abrir facsímil</v>
      </c>
      <c r="K2466" s="3" t="s">
        <v>23</v>
      </c>
    </row>
    <row r="2467" spans="1:11" ht="42" customHeight="1">
      <c r="A2467" s="2" t="s">
        <v>5847</v>
      </c>
      <c r="B2467" s="2" t="s">
        <v>5848</v>
      </c>
      <c r="C2467" s="2" t="s">
        <v>17</v>
      </c>
      <c r="D2467" s="2" t="s">
        <v>18</v>
      </c>
      <c r="E2467" s="5">
        <v>-30219</v>
      </c>
      <c r="F2467" s="3" t="s">
        <v>1346</v>
      </c>
      <c r="G2467" s="3" t="s">
        <v>20</v>
      </c>
      <c r="H2467" s="2" t="s">
        <v>21</v>
      </c>
      <c r="I2467" s="2" t="s">
        <v>5849</v>
      </c>
      <c r="J2467" s="3" t="str">
        <f>HYPERLINK("https://www.boe.es/gazeta/dias/1817/04/05/pdfs/GMD-1817-41.pdf#page=7","Abrir facsímil")</f>
        <v>Abrir facsímil</v>
      </c>
      <c r="K2467" s="3" t="s">
        <v>23</v>
      </c>
    </row>
    <row r="2468" spans="1:11" ht="42" customHeight="1">
      <c r="A2468" s="2" t="s">
        <v>5850</v>
      </c>
      <c r="B2468" s="2" t="s">
        <v>5851</v>
      </c>
      <c r="C2468" s="2" t="s">
        <v>36</v>
      </c>
      <c r="D2468" s="2" t="s">
        <v>37</v>
      </c>
      <c r="E2468" s="5">
        <v>-30076</v>
      </c>
      <c r="F2468" s="3" t="s">
        <v>439</v>
      </c>
      <c r="G2468" s="3" t="s">
        <v>144</v>
      </c>
      <c r="H2468" s="2" t="s">
        <v>21</v>
      </c>
      <c r="I2468" s="2" t="s">
        <v>5852</v>
      </c>
      <c r="J2468" s="3" t="str">
        <f>HYPERLINK("https://www.boe.es/gazeta/dias/1817/08/26/pdfs/GMD-1817-102.pdf#page=4","Abrir facsímil")</f>
        <v>Abrir facsímil</v>
      </c>
      <c r="K2468" s="3" t="s">
        <v>23</v>
      </c>
    </row>
    <row r="2469" spans="1:11" ht="42" customHeight="1">
      <c r="A2469" s="2" t="s">
        <v>5850</v>
      </c>
      <c r="B2469" s="2" t="s">
        <v>5851</v>
      </c>
      <c r="C2469" s="2" t="s">
        <v>36</v>
      </c>
      <c r="D2469" s="2" t="s">
        <v>37</v>
      </c>
      <c r="E2469" s="5">
        <v>-29985</v>
      </c>
      <c r="F2469" s="3" t="s">
        <v>76</v>
      </c>
      <c r="G2469" s="3" t="s">
        <v>57</v>
      </c>
      <c r="H2469" s="2" t="s">
        <v>21</v>
      </c>
      <c r="I2469" s="2" t="s">
        <v>5853</v>
      </c>
      <c r="J2469" s="3" t="str">
        <f>HYPERLINK("https://www.boe.es/gazeta/dias/1817/11/25/pdfs/GMD-1817-141.pdf#page=6","Abrir facsímil")</f>
        <v>Abrir facsímil</v>
      </c>
      <c r="K2469" s="3" t="s">
        <v>23</v>
      </c>
    </row>
    <row r="2470" spans="1:11" ht="42" customHeight="1">
      <c r="A2470" s="2" t="s">
        <v>5854</v>
      </c>
      <c r="B2470" s="2" t="s">
        <v>5855</v>
      </c>
      <c r="C2470" s="2" t="s">
        <v>17</v>
      </c>
      <c r="D2470" s="2" t="s">
        <v>18</v>
      </c>
      <c r="E2470" s="5">
        <v>-30020</v>
      </c>
      <c r="F2470" s="3" t="s">
        <v>291</v>
      </c>
      <c r="G2470" s="3" t="s">
        <v>57</v>
      </c>
      <c r="H2470" s="2" t="s">
        <v>21</v>
      </c>
      <c r="I2470" s="2" t="s">
        <v>5856</v>
      </c>
      <c r="J2470" s="3" t="str">
        <f>HYPERLINK("https://www.boe.es/gazeta/dias/1817/10/21/pdfs/GMD-1817-126.pdf#page=6","Abrir facsímil")</f>
        <v>Abrir facsímil</v>
      </c>
      <c r="K2470" s="3" t="s">
        <v>23</v>
      </c>
    </row>
    <row r="2471" spans="1:11" ht="42" customHeight="1">
      <c r="A2471" s="2" t="s">
        <v>5854</v>
      </c>
      <c r="B2471" s="2" t="s">
        <v>5855</v>
      </c>
      <c r="C2471" s="2" t="s">
        <v>36</v>
      </c>
      <c r="D2471" s="2" t="s">
        <v>37</v>
      </c>
      <c r="E2471" s="5">
        <v>-30016</v>
      </c>
      <c r="F2471" s="3" t="s">
        <v>2582</v>
      </c>
      <c r="G2471" s="3" t="s">
        <v>57</v>
      </c>
      <c r="H2471" s="2" t="s">
        <v>21</v>
      </c>
      <c r="I2471" s="2" t="s">
        <v>5857</v>
      </c>
      <c r="J2471" s="3" t="str">
        <f>HYPERLINK("https://www.boe.es/gazeta/dias/1817/10/25/pdfs/GMD-1817-128.pdf#page=6","Abrir facsímil")</f>
        <v>Abrir facsímil</v>
      </c>
      <c r="K2471" s="3" t="s">
        <v>23</v>
      </c>
    </row>
    <row r="2472" spans="1:11" ht="42" customHeight="1">
      <c r="A2472" s="2" t="s">
        <v>5858</v>
      </c>
      <c r="B2472" s="2" t="s">
        <v>5859</v>
      </c>
      <c r="C2472" s="2" t="s">
        <v>43</v>
      </c>
      <c r="D2472" s="2" t="s">
        <v>44</v>
      </c>
      <c r="E2472" s="5">
        <v>-30307</v>
      </c>
      <c r="F2472" s="3" t="s">
        <v>67</v>
      </c>
      <c r="G2472" s="3" t="s">
        <v>68</v>
      </c>
      <c r="H2472" s="2" t="s">
        <v>27</v>
      </c>
      <c r="I2472" s="2" t="s">
        <v>5860</v>
      </c>
      <c r="J2472" s="3" t="str">
        <f>HYPERLINK("https://www.boe.es/gazeta/dias/1817/01/07/pdfs/GMD-1817-3.pdf#page=8","Abrir facsímil")</f>
        <v>Abrir facsímil</v>
      </c>
      <c r="K2472" s="3" t="s">
        <v>29</v>
      </c>
    </row>
    <row r="2473" spans="1:11" ht="42" customHeight="1">
      <c r="A2473" s="2" t="s">
        <v>5861</v>
      </c>
      <c r="B2473" s="2" t="s">
        <v>5862</v>
      </c>
      <c r="C2473" s="2" t="s">
        <v>36</v>
      </c>
      <c r="D2473" s="2" t="s">
        <v>37</v>
      </c>
      <c r="E2473" s="5">
        <v>-30289</v>
      </c>
      <c r="F2473" s="3" t="s">
        <v>193</v>
      </c>
      <c r="G2473" s="3" t="s">
        <v>194</v>
      </c>
      <c r="H2473" s="2" t="s">
        <v>21</v>
      </c>
      <c r="I2473" s="2" t="s">
        <v>5863</v>
      </c>
      <c r="J2473" s="3" t="str">
        <f>HYPERLINK("https://www.boe.es/gazeta/dias/1817/01/25/pdfs/GMD-1817-11.pdf#page=3","Abrir facsímil")</f>
        <v>Abrir facsímil</v>
      </c>
      <c r="K2473" s="3" t="s">
        <v>23</v>
      </c>
    </row>
    <row r="2474" spans="1:11" ht="42" customHeight="1">
      <c r="A2474" s="2" t="s">
        <v>5864</v>
      </c>
      <c r="B2474" s="2" t="s">
        <v>5865</v>
      </c>
      <c r="C2474" s="2" t="s">
        <v>43</v>
      </c>
      <c r="D2474" s="2" t="s">
        <v>44</v>
      </c>
      <c r="E2474" s="5">
        <v>-30228</v>
      </c>
      <c r="F2474" s="3" t="s">
        <v>383</v>
      </c>
      <c r="G2474" s="3" t="s">
        <v>57</v>
      </c>
      <c r="H2474" s="2" t="s">
        <v>21</v>
      </c>
      <c r="I2474" s="2" t="s">
        <v>5866</v>
      </c>
      <c r="J2474" s="3" t="str">
        <f>HYPERLINK("https://www.boe.es/gazeta/dias/1817/03/27/pdfs/GMD-1817-37.pdf#page=6","Abrir facsímil")</f>
        <v>Abrir facsímil</v>
      </c>
      <c r="K2474" s="3" t="s">
        <v>23</v>
      </c>
    </row>
    <row r="2475" spans="1:11" ht="42" customHeight="1">
      <c r="A2475" s="2" t="s">
        <v>5867</v>
      </c>
      <c r="B2475" s="2" t="s">
        <v>5868</v>
      </c>
      <c r="C2475" s="2" t="s">
        <v>43</v>
      </c>
      <c r="D2475" s="2" t="s">
        <v>44</v>
      </c>
      <c r="E2475" s="5">
        <v>-30144</v>
      </c>
      <c r="F2475" s="3" t="s">
        <v>846</v>
      </c>
      <c r="G2475" s="3" t="s">
        <v>39</v>
      </c>
      <c r="H2475" s="2" t="s">
        <v>21</v>
      </c>
      <c r="I2475" s="2" t="s">
        <v>5869</v>
      </c>
      <c r="J2475" s="3" t="str">
        <f>HYPERLINK("https://www.boe.es/gazeta/dias/1817/06/19/pdfs/GMD-1817-73.pdf#page=5","Abrir facsímil")</f>
        <v>Abrir facsímil</v>
      </c>
      <c r="K2475" s="3" t="s">
        <v>23</v>
      </c>
    </row>
    <row r="2476" spans="1:11" ht="42" customHeight="1">
      <c r="A2476" s="2" t="s">
        <v>5867</v>
      </c>
      <c r="B2476" s="2" t="s">
        <v>5868</v>
      </c>
      <c r="C2476" s="2" t="s">
        <v>36</v>
      </c>
      <c r="D2476" s="2" t="s">
        <v>37</v>
      </c>
      <c r="E2476" s="5">
        <v>-30144</v>
      </c>
      <c r="F2476" s="3" t="s">
        <v>846</v>
      </c>
      <c r="G2476" s="3" t="s">
        <v>57</v>
      </c>
      <c r="H2476" s="2" t="s">
        <v>21</v>
      </c>
      <c r="I2476" s="2" t="s">
        <v>5870</v>
      </c>
      <c r="J2476" s="3" t="str">
        <f>HYPERLINK("https://www.boe.es/gazeta/dias/1817/06/19/pdfs/GMD-1817-73.pdf#page=6","Abrir facsímil")</f>
        <v>Abrir facsímil</v>
      </c>
      <c r="K2476" s="3" t="s">
        <v>23</v>
      </c>
    </row>
    <row r="2477" spans="1:11" ht="42" customHeight="1">
      <c r="A2477" s="2" t="s">
        <v>5871</v>
      </c>
      <c r="B2477" s="2" t="s">
        <v>5871</v>
      </c>
      <c r="C2477" s="2" t="s">
        <v>36</v>
      </c>
      <c r="D2477" s="2" t="s">
        <v>37</v>
      </c>
      <c r="E2477" s="5">
        <v>-30081</v>
      </c>
      <c r="F2477" s="3" t="s">
        <v>133</v>
      </c>
      <c r="G2477" s="3" t="s">
        <v>20</v>
      </c>
      <c r="H2477" s="2" t="s">
        <v>21</v>
      </c>
      <c r="I2477" s="2" t="s">
        <v>5872</v>
      </c>
      <c r="J2477" s="3" t="str">
        <f>HYPERLINK("https://www.boe.es/gazeta/dias/1817/08/21/pdfs/GMD-1817-100.pdf#page=7","Abrir facsímil")</f>
        <v>Abrir facsímil</v>
      </c>
      <c r="K2477" s="3" t="s">
        <v>23</v>
      </c>
    </row>
    <row r="2478" spans="1:11" ht="42" customHeight="1">
      <c r="A2478" s="2" t="s">
        <v>5873</v>
      </c>
      <c r="B2478" s="2" t="s">
        <v>5874</v>
      </c>
      <c r="C2478" s="2" t="s">
        <v>36</v>
      </c>
      <c r="D2478" s="2" t="s">
        <v>37</v>
      </c>
      <c r="E2478" s="5">
        <v>-30188</v>
      </c>
      <c r="F2478" s="3" t="s">
        <v>177</v>
      </c>
      <c r="G2478" s="3" t="s">
        <v>39</v>
      </c>
      <c r="H2478" s="2" t="s">
        <v>21</v>
      </c>
      <c r="I2478" s="2" t="s">
        <v>5875</v>
      </c>
      <c r="J2478" s="3" t="str">
        <f>HYPERLINK("https://www.boe.es/gazeta/dias/1817/05/06/pdfs/GMD-1817-54.pdf#page=5","Abrir facsímil")</f>
        <v>Abrir facsímil</v>
      </c>
      <c r="K2478" s="3" t="s">
        <v>23</v>
      </c>
    </row>
    <row r="2479" spans="1:11" ht="42" customHeight="1">
      <c r="A2479" s="2" t="s">
        <v>5876</v>
      </c>
      <c r="B2479" s="2" t="s">
        <v>5876</v>
      </c>
      <c r="C2479" s="2" t="s">
        <v>36</v>
      </c>
      <c r="D2479" s="2" t="s">
        <v>37</v>
      </c>
      <c r="E2479" s="5">
        <v>-29999</v>
      </c>
      <c r="F2479" s="3" t="s">
        <v>471</v>
      </c>
      <c r="G2479" s="3" t="s">
        <v>650</v>
      </c>
      <c r="H2479" s="2" t="s">
        <v>21</v>
      </c>
      <c r="I2479" s="2" t="s">
        <v>5877</v>
      </c>
      <c r="J2479" s="3" t="str">
        <f>HYPERLINK("https://www.boe.es/gazeta/dias/1817/11/11/pdfs/GMD-1817-135.pdf#page=5","Abrir facsímil")</f>
        <v>Abrir facsímil</v>
      </c>
      <c r="K2479" s="3" t="s">
        <v>23</v>
      </c>
    </row>
    <row r="2480" spans="1:11" ht="42" customHeight="1">
      <c r="A2480" s="2" t="s">
        <v>5878</v>
      </c>
      <c r="B2480" s="2" t="s">
        <v>5878</v>
      </c>
      <c r="C2480" s="2" t="s">
        <v>36</v>
      </c>
      <c r="D2480" s="2" t="s">
        <v>37</v>
      </c>
      <c r="E2480" s="5">
        <v>-30090</v>
      </c>
      <c r="F2480" s="3" t="s">
        <v>89</v>
      </c>
      <c r="G2480" s="3" t="s">
        <v>629</v>
      </c>
      <c r="H2480" s="2" t="s">
        <v>21</v>
      </c>
      <c r="I2480" s="2" t="s">
        <v>5879</v>
      </c>
      <c r="J2480" s="3" t="str">
        <f>HYPERLINK("https://www.boe.es/gazeta/dias/1817/08/12/pdfs/GMD-1817-96.pdf#page=2","Abrir facsímil")</f>
        <v>Abrir facsímil</v>
      </c>
      <c r="K2480" s="3" t="s">
        <v>23</v>
      </c>
    </row>
    <row r="2481" spans="1:11" ht="42" customHeight="1">
      <c r="A2481" s="2" t="s">
        <v>5880</v>
      </c>
      <c r="B2481" s="2" t="s">
        <v>5881</v>
      </c>
      <c r="C2481" s="2" t="s">
        <v>17</v>
      </c>
      <c r="D2481" s="2" t="s">
        <v>18</v>
      </c>
      <c r="E2481" s="5">
        <v>-30186</v>
      </c>
      <c r="F2481" s="3" t="s">
        <v>2003</v>
      </c>
      <c r="G2481" s="3" t="s">
        <v>2886</v>
      </c>
      <c r="H2481" s="2" t="s">
        <v>21</v>
      </c>
      <c r="I2481" s="2" t="s">
        <v>5882</v>
      </c>
      <c r="J2481" s="3" t="str">
        <f>HYPERLINK("https://www.boe.es/gazeta/dias/1817/05/08/pdfs/GMD-1817-55.pdf#page=6","Abrir facsímil")</f>
        <v>Abrir facsímil</v>
      </c>
      <c r="K2481" s="3" t="s">
        <v>23</v>
      </c>
    </row>
    <row r="2482" spans="1:11" ht="42" customHeight="1">
      <c r="A2482" s="2" t="s">
        <v>5883</v>
      </c>
      <c r="B2482" s="2" t="s">
        <v>5884</v>
      </c>
      <c r="C2482" s="2" t="s">
        <v>49</v>
      </c>
      <c r="D2482" s="2" t="s">
        <v>44</v>
      </c>
      <c r="E2482" s="5">
        <v>-30179</v>
      </c>
      <c r="F2482" s="3" t="s">
        <v>391</v>
      </c>
      <c r="G2482" s="3" t="s">
        <v>20</v>
      </c>
      <c r="H2482" s="2" t="s">
        <v>21</v>
      </c>
      <c r="I2482" s="2" t="s">
        <v>5885</v>
      </c>
      <c r="J2482" s="3" t="str">
        <f>HYPERLINK("https://www.boe.es/gazeta/dias/1817/05/15/pdfs/GMD-1817-58.pdf#page=7","Abrir facsímil")</f>
        <v>Abrir facsímil</v>
      </c>
      <c r="K2482" s="3" t="s">
        <v>23</v>
      </c>
    </row>
    <row r="2483" spans="1:11" ht="42" customHeight="1">
      <c r="A2483" s="2" t="s">
        <v>5886</v>
      </c>
      <c r="B2483" s="2" t="s">
        <v>5886</v>
      </c>
      <c r="C2483" s="2" t="s">
        <v>17</v>
      </c>
      <c r="D2483" s="2" t="s">
        <v>18</v>
      </c>
      <c r="E2483" s="5">
        <v>-30240</v>
      </c>
      <c r="F2483" s="3" t="s">
        <v>347</v>
      </c>
      <c r="G2483" s="3" t="s">
        <v>3762</v>
      </c>
      <c r="H2483" s="2" t="s">
        <v>21</v>
      </c>
      <c r="I2483" s="2" t="s">
        <v>5887</v>
      </c>
      <c r="J2483" s="3" t="str">
        <f>HYPERLINK("https://www.boe.es/gazeta/dias/1817/03/15/pdfs/GMD-1817-32.pdf#page=5","Abrir facsímil")</f>
        <v>Abrir facsímil</v>
      </c>
      <c r="K2483" s="3" t="s">
        <v>23</v>
      </c>
    </row>
    <row r="2484" spans="1:11" ht="42" customHeight="1">
      <c r="A2484" s="2" t="s">
        <v>5888</v>
      </c>
      <c r="B2484" s="2" t="s">
        <v>5889</v>
      </c>
      <c r="C2484" s="2" t="s">
        <v>55</v>
      </c>
      <c r="D2484" s="2" t="s">
        <v>44</v>
      </c>
      <c r="E2484" s="5">
        <v>-30114</v>
      </c>
      <c r="F2484" s="3" t="s">
        <v>500</v>
      </c>
      <c r="G2484" s="3" t="s">
        <v>915</v>
      </c>
      <c r="H2484" s="2" t="s">
        <v>21</v>
      </c>
      <c r="I2484" s="2" t="s">
        <v>5890</v>
      </c>
      <c r="J2484" s="3" t="str">
        <f>HYPERLINK("https://www.boe.es/gazeta/dias/1817/07/19/pdfs/GMD-1817-86.pdf#page=6","Abrir facsímil")</f>
        <v>Abrir facsímil</v>
      </c>
      <c r="K2484" s="3" t="s">
        <v>23</v>
      </c>
    </row>
    <row r="2485" spans="1:11" ht="42" customHeight="1">
      <c r="A2485" s="2" t="s">
        <v>5888</v>
      </c>
      <c r="B2485" s="2" t="s">
        <v>5889</v>
      </c>
      <c r="C2485" s="2" t="s">
        <v>17</v>
      </c>
      <c r="D2485" s="2" t="s">
        <v>18</v>
      </c>
      <c r="E2485" s="5">
        <v>-30083</v>
      </c>
      <c r="F2485" s="3" t="s">
        <v>1273</v>
      </c>
      <c r="G2485" s="3" t="s">
        <v>20</v>
      </c>
      <c r="H2485" s="2" t="s">
        <v>21</v>
      </c>
      <c r="I2485" s="2" t="s">
        <v>5891</v>
      </c>
      <c r="J2485" s="3" t="str">
        <f>HYPERLINK("https://www.boe.es/gazeta/dias/1817/08/19/pdfs/GMD-1817-99.pdf#page=7","Abrir facsímil")</f>
        <v>Abrir facsímil</v>
      </c>
      <c r="K2485" s="3" t="s">
        <v>23</v>
      </c>
    </row>
    <row r="2486" spans="1:11" ht="42" customHeight="1">
      <c r="A2486" s="2" t="s">
        <v>5892</v>
      </c>
      <c r="B2486" s="2" t="s">
        <v>5893</v>
      </c>
      <c r="C2486" s="2" t="s">
        <v>36</v>
      </c>
      <c r="D2486" s="2" t="s">
        <v>37</v>
      </c>
      <c r="E2486" s="5">
        <v>-30212</v>
      </c>
      <c r="F2486" s="3" t="s">
        <v>745</v>
      </c>
      <c r="G2486" s="3" t="s">
        <v>39</v>
      </c>
      <c r="H2486" s="2" t="s">
        <v>21</v>
      </c>
      <c r="I2486" s="2" t="s">
        <v>5894</v>
      </c>
      <c r="J2486" s="3" t="str">
        <f>HYPERLINK("https://www.boe.es/gazeta/dias/1817/04/12/pdfs/GMD-1817-44.pdf#page=5","Abrir facsímil")</f>
        <v>Abrir facsímil</v>
      </c>
      <c r="K2486" s="3" t="s">
        <v>23</v>
      </c>
    </row>
    <row r="2487" spans="1:11" ht="42" customHeight="1">
      <c r="A2487" s="2" t="s">
        <v>5895</v>
      </c>
      <c r="B2487" s="2" t="s">
        <v>5895</v>
      </c>
      <c r="C2487" s="2" t="s">
        <v>17</v>
      </c>
      <c r="D2487" s="2" t="s">
        <v>18</v>
      </c>
      <c r="E2487" s="5">
        <v>-30221</v>
      </c>
      <c r="F2487" s="3" t="s">
        <v>256</v>
      </c>
      <c r="G2487" s="3" t="s">
        <v>77</v>
      </c>
      <c r="H2487" s="2" t="s">
        <v>21</v>
      </c>
      <c r="I2487" s="2" t="s">
        <v>5896</v>
      </c>
      <c r="J2487" s="3" t="str">
        <f>HYPERLINK("https://www.boe.es/gazeta/dias/1817/04/03/pdfs/GMD-1817-40.pdf#page=8","Abrir facsímil")</f>
        <v>Abrir facsímil</v>
      </c>
      <c r="K2487" s="3" t="s">
        <v>23</v>
      </c>
    </row>
    <row r="2488" spans="1:11" ht="42" customHeight="1">
      <c r="A2488" s="2" t="s">
        <v>5897</v>
      </c>
      <c r="B2488" s="2" t="s">
        <v>5898</v>
      </c>
      <c r="C2488" s="2" t="s">
        <v>510</v>
      </c>
      <c r="D2488" s="2" t="s">
        <v>44</v>
      </c>
      <c r="E2488" s="5">
        <v>-30032</v>
      </c>
      <c r="F2488" s="3" t="s">
        <v>337</v>
      </c>
      <c r="G2488" s="3" t="s">
        <v>2709</v>
      </c>
      <c r="H2488" s="2" t="s">
        <v>27</v>
      </c>
      <c r="I2488" s="2" t="s">
        <v>5899</v>
      </c>
      <c r="J2488" s="3" t="str">
        <f>HYPERLINK("https://www.boe.es/gazeta/dias/1817/10/09/pdfs/GMD-1817-121.pdf#page=7","Abrir facsímil")</f>
        <v>Abrir facsímil</v>
      </c>
      <c r="K2488" s="3" t="s">
        <v>29</v>
      </c>
    </row>
    <row r="2489" spans="1:11" ht="42" customHeight="1">
      <c r="A2489" s="2" t="s">
        <v>5900</v>
      </c>
      <c r="B2489" s="2" t="s">
        <v>5901</v>
      </c>
      <c r="C2489" s="2" t="s">
        <v>36</v>
      </c>
      <c r="D2489" s="2" t="s">
        <v>37</v>
      </c>
      <c r="E2489" s="5">
        <v>-30279</v>
      </c>
      <c r="F2489" s="3" t="s">
        <v>1113</v>
      </c>
      <c r="G2489" s="3" t="s">
        <v>77</v>
      </c>
      <c r="H2489" s="2" t="s">
        <v>21</v>
      </c>
      <c r="I2489" s="2" t="s">
        <v>5902</v>
      </c>
      <c r="J2489" s="3" t="str">
        <f>HYPERLINK("https://www.boe.es/gazeta/dias/1817/02/04/pdfs/GMD-1817-15.pdf#page=8","Abrir facsímil")</f>
        <v>Abrir facsímil</v>
      </c>
      <c r="K2489" s="3" t="s">
        <v>23</v>
      </c>
    </row>
    <row r="2490" spans="1:11" ht="42" customHeight="1">
      <c r="A2490" s="2" t="s">
        <v>5900</v>
      </c>
      <c r="B2490" s="2" t="s">
        <v>5901</v>
      </c>
      <c r="C2490" s="2" t="s">
        <v>17</v>
      </c>
      <c r="D2490" s="2" t="s">
        <v>18</v>
      </c>
      <c r="E2490" s="5">
        <v>-30053</v>
      </c>
      <c r="F2490" s="3" t="s">
        <v>129</v>
      </c>
      <c r="G2490" s="3" t="s">
        <v>314</v>
      </c>
      <c r="H2490" s="2" t="s">
        <v>21</v>
      </c>
      <c r="I2490" s="2" t="s">
        <v>5903</v>
      </c>
      <c r="J2490" s="3" t="str">
        <f>HYPERLINK("https://www.boe.es/gazeta/dias/1817/09/18/pdfs/GMD-1817-112.pdf#page=10","Abrir facsímil")</f>
        <v>Abrir facsímil</v>
      </c>
      <c r="K2490" s="3" t="s">
        <v>23</v>
      </c>
    </row>
    <row r="2491" spans="1:11" ht="42" customHeight="1">
      <c r="A2491" s="2" t="s">
        <v>5904</v>
      </c>
      <c r="B2491" s="2" t="s">
        <v>5905</v>
      </c>
      <c r="C2491" s="2" t="s">
        <v>55</v>
      </c>
      <c r="D2491" s="2" t="s">
        <v>44</v>
      </c>
      <c r="E2491" s="5">
        <v>-30251</v>
      </c>
      <c r="F2491" s="3" t="s">
        <v>2096</v>
      </c>
      <c r="G2491" s="3" t="s">
        <v>77</v>
      </c>
      <c r="H2491" s="2" t="s">
        <v>21</v>
      </c>
      <c r="I2491" s="2" t="s">
        <v>5906</v>
      </c>
      <c r="J2491" s="3" t="str">
        <f>HYPERLINK("https://www.boe.es/gazeta/dias/1817/03/04/pdfs/GMD-1817-27.pdf#page=8","Abrir facsímil")</f>
        <v>Abrir facsímil</v>
      </c>
      <c r="K2491" s="3" t="s">
        <v>23</v>
      </c>
    </row>
    <row r="2492" spans="1:11" ht="42" customHeight="1">
      <c r="A2492" s="2" t="s">
        <v>5907</v>
      </c>
      <c r="B2492" s="2" t="s">
        <v>5908</v>
      </c>
      <c r="C2492" s="2" t="s">
        <v>17</v>
      </c>
      <c r="D2492" s="2" t="s">
        <v>18</v>
      </c>
      <c r="E2492" s="5">
        <v>-30076</v>
      </c>
      <c r="F2492" s="3" t="s">
        <v>439</v>
      </c>
      <c r="G2492" s="3" t="s">
        <v>77</v>
      </c>
      <c r="H2492" s="2" t="s">
        <v>27</v>
      </c>
      <c r="I2492" s="2" t="s">
        <v>5909</v>
      </c>
      <c r="J2492" s="3" t="str">
        <f>HYPERLINK("https://www.boe.es/gazeta/dias/1817/08/26/pdfs/GMD-1817-102.pdf#page=8","Abrir facsímil")</f>
        <v>Abrir facsímil</v>
      </c>
      <c r="K2492" s="3" t="s">
        <v>29</v>
      </c>
    </row>
    <row r="2493" spans="1:11" ht="42" customHeight="1">
      <c r="A2493" s="2" t="s">
        <v>5910</v>
      </c>
      <c r="B2493" s="2" t="s">
        <v>5911</v>
      </c>
      <c r="C2493" s="2" t="s">
        <v>43</v>
      </c>
      <c r="D2493" s="2" t="s">
        <v>44</v>
      </c>
      <c r="E2493" s="5">
        <v>-30013</v>
      </c>
      <c r="F2493" s="3" t="s">
        <v>464</v>
      </c>
      <c r="G2493" s="3" t="s">
        <v>39</v>
      </c>
      <c r="H2493" s="2" t="s">
        <v>21</v>
      </c>
      <c r="I2493" s="2" t="s">
        <v>5912</v>
      </c>
      <c r="J2493" s="3" t="str">
        <f>HYPERLINK("https://www.boe.es/gazeta/dias/1817/10/28/pdfs/GMD-1817-129.pdf#page=5","Abrir facsímil")</f>
        <v>Abrir facsímil</v>
      </c>
      <c r="K2493" s="3" t="s">
        <v>23</v>
      </c>
    </row>
    <row r="2494" spans="1:11" ht="42" customHeight="1">
      <c r="A2494" s="2" t="s">
        <v>5913</v>
      </c>
      <c r="B2494" s="2" t="s">
        <v>5913</v>
      </c>
      <c r="C2494" s="2" t="s">
        <v>36</v>
      </c>
      <c r="D2494" s="2" t="s">
        <v>37</v>
      </c>
      <c r="E2494" s="5">
        <v>-29953</v>
      </c>
      <c r="F2494" s="3" t="s">
        <v>793</v>
      </c>
      <c r="G2494" s="3" t="s">
        <v>144</v>
      </c>
      <c r="H2494" s="2" t="s">
        <v>21</v>
      </c>
      <c r="I2494" s="2" t="s">
        <v>5914</v>
      </c>
      <c r="J2494" s="3" t="str">
        <f>HYPERLINK("https://www.boe.es/gazeta/dias/1817/12/27/pdfs/GMD-1817-155.pdf#page=4","Abrir facsímil")</f>
        <v>Abrir facsímil</v>
      </c>
      <c r="K2494" s="3" t="s">
        <v>23</v>
      </c>
    </row>
    <row r="2495" spans="1:11" ht="42" customHeight="1">
      <c r="A2495" s="2" t="s">
        <v>5915</v>
      </c>
      <c r="B2495" s="2" t="s">
        <v>5916</v>
      </c>
      <c r="C2495" s="2" t="s">
        <v>43</v>
      </c>
      <c r="D2495" s="2" t="s">
        <v>44</v>
      </c>
      <c r="E2495" s="5">
        <v>-30265</v>
      </c>
      <c r="F2495" s="3" t="s">
        <v>107</v>
      </c>
      <c r="G2495" s="3" t="s">
        <v>997</v>
      </c>
      <c r="H2495" s="2" t="s">
        <v>21</v>
      </c>
      <c r="I2495" s="2" t="s">
        <v>5917</v>
      </c>
      <c r="J2495" s="3" t="str">
        <f>HYPERLINK("https://www.boe.es/gazeta/dias/1817/02/18/pdfs/GMD-1817-21.pdf#page=5","Abrir facsímil")</f>
        <v>Abrir facsímil</v>
      </c>
      <c r="K2495" s="3" t="s">
        <v>23</v>
      </c>
    </row>
    <row r="2496" spans="1:11" ht="42" customHeight="1">
      <c r="A2496" s="2" t="s">
        <v>5918</v>
      </c>
      <c r="B2496" s="2" t="s">
        <v>5919</v>
      </c>
      <c r="C2496" s="2" t="s">
        <v>36</v>
      </c>
      <c r="D2496" s="2" t="s">
        <v>37</v>
      </c>
      <c r="E2496" s="5">
        <v>-30261</v>
      </c>
      <c r="F2496" s="3" t="s">
        <v>226</v>
      </c>
      <c r="G2496" s="3" t="s">
        <v>20</v>
      </c>
      <c r="H2496" s="2" t="s">
        <v>21</v>
      </c>
      <c r="I2496" s="2" t="s">
        <v>5920</v>
      </c>
      <c r="J2496" s="3" t="str">
        <f>HYPERLINK("https://www.boe.es/gazeta/dias/1817/02/22/pdfs/GMD-1817-23.pdf#page=7","Abrir facsímil")</f>
        <v>Abrir facsímil</v>
      </c>
      <c r="K2496" s="3" t="s">
        <v>23</v>
      </c>
    </row>
    <row r="2497" spans="1:11" ht="42" customHeight="1">
      <c r="A2497" s="2" t="s">
        <v>5918</v>
      </c>
      <c r="B2497" s="2" t="s">
        <v>5919</v>
      </c>
      <c r="C2497" s="2" t="s">
        <v>36</v>
      </c>
      <c r="D2497" s="2" t="s">
        <v>37</v>
      </c>
      <c r="E2497" s="5">
        <v>-30230</v>
      </c>
      <c r="F2497" s="3" t="s">
        <v>189</v>
      </c>
      <c r="G2497" s="3" t="s">
        <v>2911</v>
      </c>
      <c r="H2497" s="2" t="s">
        <v>21</v>
      </c>
      <c r="I2497" s="2" t="s">
        <v>5921</v>
      </c>
      <c r="J2497" s="3" t="str">
        <f>HYPERLINK("https://www.boe.es/gazeta/dias/1817/03/25/pdfs/GMD-1817-36.pdf#page=6","Abrir facsímil")</f>
        <v>Abrir facsímil</v>
      </c>
      <c r="K2497" s="3" t="s">
        <v>23</v>
      </c>
    </row>
    <row r="2498" spans="1:11" ht="42" customHeight="1">
      <c r="A2498" s="2" t="s">
        <v>5918</v>
      </c>
      <c r="B2498" s="2" t="s">
        <v>5919</v>
      </c>
      <c r="C2498" s="2" t="s">
        <v>36</v>
      </c>
      <c r="D2498" s="2" t="s">
        <v>37</v>
      </c>
      <c r="E2498" s="5">
        <v>-30121</v>
      </c>
      <c r="F2498" s="3" t="s">
        <v>851</v>
      </c>
      <c r="G2498" s="3" t="s">
        <v>77</v>
      </c>
      <c r="H2498" s="2" t="s">
        <v>21</v>
      </c>
      <c r="I2498" s="2" t="s">
        <v>5922</v>
      </c>
      <c r="J2498" s="3" t="str">
        <f>HYPERLINK("https://www.boe.es/gazeta/dias/1817/07/12/pdfs/GMD-1817-83.pdf#page=8","Abrir facsímil")</f>
        <v>Abrir facsímil</v>
      </c>
      <c r="K2498" s="3" t="s">
        <v>23</v>
      </c>
    </row>
    <row r="2499" spans="1:11" ht="42" customHeight="1">
      <c r="A2499" s="2" t="s">
        <v>5918</v>
      </c>
      <c r="B2499" s="2" t="s">
        <v>5919</v>
      </c>
      <c r="C2499" s="2" t="s">
        <v>36</v>
      </c>
      <c r="D2499" s="2" t="s">
        <v>37</v>
      </c>
      <c r="E2499" s="5">
        <v>-29999</v>
      </c>
      <c r="F2499" s="3" t="s">
        <v>471</v>
      </c>
      <c r="G2499" s="3" t="s">
        <v>5923</v>
      </c>
      <c r="H2499" s="2" t="s">
        <v>21</v>
      </c>
      <c r="I2499" s="2" t="s">
        <v>5924</v>
      </c>
      <c r="J2499" s="3" t="str">
        <f>HYPERLINK("https://www.boe.es/gazeta/dias/1817/11/11/pdfs/GMD-1817-135.pdf#page=4","Abrir facsímil")</f>
        <v>Abrir facsímil</v>
      </c>
      <c r="K2499" s="3" t="s">
        <v>23</v>
      </c>
    </row>
    <row r="2500" spans="1:11" ht="42" customHeight="1">
      <c r="A2500" s="2" t="s">
        <v>5925</v>
      </c>
      <c r="B2500" s="2" t="s">
        <v>5926</v>
      </c>
      <c r="C2500" s="2" t="s">
        <v>17</v>
      </c>
      <c r="D2500" s="2" t="s">
        <v>18</v>
      </c>
      <c r="E2500" s="5">
        <v>-30051</v>
      </c>
      <c r="F2500" s="3" t="s">
        <v>26</v>
      </c>
      <c r="G2500" s="3" t="s">
        <v>77</v>
      </c>
      <c r="H2500" s="2" t="s">
        <v>27</v>
      </c>
      <c r="I2500" s="2" t="s">
        <v>5927</v>
      </c>
      <c r="J2500" s="3" t="str">
        <f>HYPERLINK("https://www.boe.es/gazeta/dias/1817/09/20/pdfs/GMD-1817-113.pdf#page=8","Abrir facsímil")</f>
        <v>Abrir facsímil</v>
      </c>
      <c r="K2500" s="3" t="s">
        <v>29</v>
      </c>
    </row>
    <row r="2501" spans="1:11" ht="42" customHeight="1">
      <c r="A2501" s="2" t="s">
        <v>5928</v>
      </c>
      <c r="B2501" s="2" t="s">
        <v>5929</v>
      </c>
      <c r="C2501" s="2" t="s">
        <v>36</v>
      </c>
      <c r="D2501" s="2" t="s">
        <v>37</v>
      </c>
      <c r="E2501" s="5">
        <v>-29974</v>
      </c>
      <c r="F2501" s="3" t="s">
        <v>32</v>
      </c>
      <c r="G2501" s="3" t="s">
        <v>57</v>
      </c>
      <c r="H2501" s="2" t="s">
        <v>21</v>
      </c>
      <c r="I2501" s="2" t="s">
        <v>5930</v>
      </c>
      <c r="J2501" s="3" t="str">
        <f>HYPERLINK("https://www.boe.es/gazeta/dias/1817/12/06/pdfs/GMD-1817-146.pdf#page=6","Abrir facsímil")</f>
        <v>Abrir facsímil</v>
      </c>
      <c r="K2501" s="3" t="s">
        <v>23</v>
      </c>
    </row>
    <row r="2502" spans="1:11" ht="42" customHeight="1">
      <c r="A2502" s="2" t="s">
        <v>5931</v>
      </c>
      <c r="B2502" s="2" t="s">
        <v>5932</v>
      </c>
      <c r="C2502" s="2" t="s">
        <v>17</v>
      </c>
      <c r="D2502" s="2" t="s">
        <v>18</v>
      </c>
      <c r="E2502" s="5">
        <v>-30095</v>
      </c>
      <c r="F2502" s="3" t="s">
        <v>365</v>
      </c>
      <c r="G2502" s="3" t="s">
        <v>82</v>
      </c>
      <c r="H2502" s="2" t="s">
        <v>21</v>
      </c>
      <c r="I2502" s="2" t="s">
        <v>5933</v>
      </c>
      <c r="J2502" s="3" t="str">
        <f>HYPERLINK("https://www.boe.es/gazeta/dias/1817/08/07/pdfs/GMD-1817-94.pdf#page=12","Abrir facsímil")</f>
        <v>Abrir facsímil</v>
      </c>
      <c r="K2502" s="3" t="s">
        <v>23</v>
      </c>
    </row>
    <row r="2503" spans="1:11" ht="42" customHeight="1">
      <c r="A2503" s="2" t="s">
        <v>5934</v>
      </c>
      <c r="B2503" s="2" t="s">
        <v>5935</v>
      </c>
      <c r="C2503" s="2" t="s">
        <v>55</v>
      </c>
      <c r="D2503" s="2" t="s">
        <v>44</v>
      </c>
      <c r="E2503" s="5">
        <v>-30128</v>
      </c>
      <c r="F2503" s="3" t="s">
        <v>761</v>
      </c>
      <c r="G2503" s="3" t="s">
        <v>3300</v>
      </c>
      <c r="H2503" s="2" t="s">
        <v>21</v>
      </c>
      <c r="I2503" s="2" t="s">
        <v>5936</v>
      </c>
      <c r="J2503" s="3" t="str">
        <f>HYPERLINK("https://www.boe.es/gazeta/dias/1817/07/05/pdfs/GMD-1817-80.pdf#page=8","Abrir facsímil")</f>
        <v>Abrir facsímil</v>
      </c>
      <c r="K2503" s="3" t="s">
        <v>23</v>
      </c>
    </row>
    <row r="2504" spans="1:11" ht="42" customHeight="1">
      <c r="A2504" s="2" t="s">
        <v>5937</v>
      </c>
      <c r="B2504" s="2" t="s">
        <v>5938</v>
      </c>
      <c r="C2504" s="2" t="s">
        <v>55</v>
      </c>
      <c r="D2504" s="2" t="s">
        <v>44</v>
      </c>
      <c r="E2504" s="5">
        <v>-29964</v>
      </c>
      <c r="F2504" s="3" t="s">
        <v>482</v>
      </c>
      <c r="G2504" s="3" t="s">
        <v>483</v>
      </c>
      <c r="H2504" s="2" t="s">
        <v>21</v>
      </c>
      <c r="I2504" s="2" t="s">
        <v>5939</v>
      </c>
      <c r="J2504" s="3" t="str">
        <f>HYPERLINK("https://www.boe.es/gazeta/dias/1817/12/16/pdfs/GMD-1817-150.pdf#page=12","Abrir facsímil")</f>
        <v>Abrir facsímil</v>
      </c>
      <c r="K2504" s="3" t="s">
        <v>23</v>
      </c>
    </row>
    <row r="2505" spans="1:11" ht="42" customHeight="1">
      <c r="A2505" s="2" t="s">
        <v>5940</v>
      </c>
      <c r="B2505" s="2" t="s">
        <v>5941</v>
      </c>
      <c r="C2505" s="2" t="s">
        <v>43</v>
      </c>
      <c r="D2505" s="2" t="s">
        <v>44</v>
      </c>
      <c r="E2505" s="5">
        <v>-30079</v>
      </c>
      <c r="F2505" s="3" t="s">
        <v>45</v>
      </c>
      <c r="G2505" s="3" t="s">
        <v>39</v>
      </c>
      <c r="H2505" s="2" t="s">
        <v>21</v>
      </c>
      <c r="I2505" s="2" t="s">
        <v>5942</v>
      </c>
      <c r="J2505" s="3" t="str">
        <f>HYPERLINK("https://www.boe.es/gazeta/dias/1817/08/23/pdfs/GMD-1817-101.pdf#page=5","Abrir facsímil")</f>
        <v>Abrir facsímil</v>
      </c>
      <c r="K2505" s="3" t="s">
        <v>23</v>
      </c>
    </row>
    <row r="2506" spans="1:11" ht="42" customHeight="1">
      <c r="A2506" s="2" t="s">
        <v>5943</v>
      </c>
      <c r="B2506" s="2" t="s">
        <v>5944</v>
      </c>
      <c r="C2506" s="2" t="s">
        <v>36</v>
      </c>
      <c r="D2506" s="2" t="s">
        <v>37</v>
      </c>
      <c r="E2506" s="5">
        <v>-30198</v>
      </c>
      <c r="F2506" s="3" t="s">
        <v>2185</v>
      </c>
      <c r="G2506" s="3" t="s">
        <v>57</v>
      </c>
      <c r="H2506" s="2" t="s">
        <v>21</v>
      </c>
      <c r="I2506" s="2" t="s">
        <v>5945</v>
      </c>
      <c r="J2506" s="3" t="str">
        <f>HYPERLINK("https://www.boe.es/gazeta/dias/1817/04/26/pdfs/GMD-1817-50.pdf#page=6","Abrir facsímil")</f>
        <v>Abrir facsímil</v>
      </c>
      <c r="K2506" s="3" t="s">
        <v>23</v>
      </c>
    </row>
    <row r="2507" spans="1:11" ht="42" customHeight="1">
      <c r="A2507" s="2" t="s">
        <v>5943</v>
      </c>
      <c r="B2507" s="2" t="s">
        <v>5944</v>
      </c>
      <c r="C2507" s="2" t="s">
        <v>17</v>
      </c>
      <c r="D2507" s="2" t="s">
        <v>18</v>
      </c>
      <c r="E2507" s="5">
        <v>-30179</v>
      </c>
      <c r="F2507" s="3" t="s">
        <v>391</v>
      </c>
      <c r="G2507" s="3" t="s">
        <v>20</v>
      </c>
      <c r="H2507" s="2" t="s">
        <v>21</v>
      </c>
      <c r="I2507" s="2" t="s">
        <v>5946</v>
      </c>
      <c r="J2507" s="3" t="str">
        <f>HYPERLINK("https://www.boe.es/gazeta/dias/1817/05/15/pdfs/GMD-1817-58.pdf#page=7","Abrir facsímil")</f>
        <v>Abrir facsímil</v>
      </c>
      <c r="K2507" s="3" t="s">
        <v>23</v>
      </c>
    </row>
    <row r="2508" spans="1:11" ht="42" customHeight="1">
      <c r="A2508" s="2" t="s">
        <v>5947</v>
      </c>
      <c r="B2508" s="2" t="s">
        <v>5948</v>
      </c>
      <c r="C2508" s="2" t="s">
        <v>36</v>
      </c>
      <c r="D2508" s="2" t="s">
        <v>37</v>
      </c>
      <c r="E2508" s="5">
        <v>-30200</v>
      </c>
      <c r="F2508" s="3" t="s">
        <v>725</v>
      </c>
      <c r="G2508" s="3" t="s">
        <v>57</v>
      </c>
      <c r="H2508" s="2" t="s">
        <v>21</v>
      </c>
      <c r="I2508" s="2" t="s">
        <v>5949</v>
      </c>
      <c r="J2508" s="3" t="str">
        <f>HYPERLINK("https://www.boe.es/gazeta/dias/1817/04/24/pdfs/GMD-1817-49.pdf#page=6","Abrir facsímil")</f>
        <v>Abrir facsímil</v>
      </c>
      <c r="K2508" s="3" t="s">
        <v>23</v>
      </c>
    </row>
    <row r="2509" spans="1:11" ht="42" customHeight="1">
      <c r="A2509" s="2" t="s">
        <v>5950</v>
      </c>
      <c r="B2509" s="2" t="s">
        <v>5951</v>
      </c>
      <c r="C2509" s="2" t="s">
        <v>97</v>
      </c>
      <c r="D2509" s="2" t="s">
        <v>44</v>
      </c>
      <c r="E2509" s="5">
        <v>-30016</v>
      </c>
      <c r="F2509" s="3" t="s">
        <v>2582</v>
      </c>
      <c r="G2509" s="3" t="s">
        <v>77</v>
      </c>
      <c r="H2509" s="2" t="s">
        <v>21</v>
      </c>
      <c r="I2509" s="2" t="s">
        <v>5952</v>
      </c>
      <c r="J2509" s="3" t="str">
        <f>HYPERLINK("https://www.boe.es/gazeta/dias/1817/10/25/pdfs/GMD-1817-128.pdf#page=8","Abrir facsímil")</f>
        <v>Abrir facsímil</v>
      </c>
      <c r="K2509" s="3" t="s">
        <v>23</v>
      </c>
    </row>
    <row r="2510" spans="1:11" ht="42" customHeight="1">
      <c r="A2510" s="2" t="s">
        <v>5953</v>
      </c>
      <c r="B2510" s="2" t="s">
        <v>5954</v>
      </c>
      <c r="C2510" s="2" t="s">
        <v>36</v>
      </c>
      <c r="D2510" s="2" t="s">
        <v>37</v>
      </c>
      <c r="E2510" s="5">
        <v>-30011</v>
      </c>
      <c r="F2510" s="3" t="s">
        <v>313</v>
      </c>
      <c r="G2510" s="3" t="s">
        <v>77</v>
      </c>
      <c r="H2510" s="2" t="s">
        <v>21</v>
      </c>
      <c r="I2510" s="2" t="s">
        <v>5955</v>
      </c>
      <c r="J2510" s="3" t="str">
        <f>HYPERLINK("https://www.boe.es/gazeta/dias/1817/10/30/pdfs/GMD-1817-130.pdf#page=8","Abrir facsímil")</f>
        <v>Abrir facsímil</v>
      </c>
      <c r="K2510" s="3" t="s">
        <v>23</v>
      </c>
    </row>
    <row r="2511" spans="1:11" ht="42" customHeight="1">
      <c r="A2511" s="2" t="s">
        <v>5956</v>
      </c>
      <c r="B2511" s="2" t="s">
        <v>5957</v>
      </c>
      <c r="C2511" s="2" t="s">
        <v>17</v>
      </c>
      <c r="D2511" s="2" t="s">
        <v>18</v>
      </c>
      <c r="E2511" s="5">
        <v>-30123</v>
      </c>
      <c r="F2511" s="3" t="s">
        <v>848</v>
      </c>
      <c r="G2511" s="3" t="s">
        <v>3877</v>
      </c>
      <c r="H2511" s="2" t="s">
        <v>27</v>
      </c>
      <c r="I2511" s="2" t="s">
        <v>5958</v>
      </c>
      <c r="J2511" s="3" t="str">
        <f>HYPERLINK("https://www.boe.es/gazeta/dias/1817/07/10/pdfs/GMD-1817-82.pdf#page=8","Abrir facsímil")</f>
        <v>Abrir facsímil</v>
      </c>
      <c r="K2511" s="3" t="s">
        <v>29</v>
      </c>
    </row>
    <row r="2512" spans="1:11" ht="42" customHeight="1">
      <c r="A2512" s="2" t="s">
        <v>5959</v>
      </c>
      <c r="B2512" s="2" t="s">
        <v>5960</v>
      </c>
      <c r="C2512" s="2" t="s">
        <v>17</v>
      </c>
      <c r="D2512" s="2" t="s">
        <v>18</v>
      </c>
      <c r="E2512" s="5">
        <v>-30107</v>
      </c>
      <c r="F2512" s="3" t="s">
        <v>307</v>
      </c>
      <c r="G2512" s="3" t="s">
        <v>77</v>
      </c>
      <c r="H2512" s="2" t="s">
        <v>21</v>
      </c>
      <c r="I2512" s="2" t="s">
        <v>5961</v>
      </c>
      <c r="J2512" s="3" t="str">
        <f>HYPERLINK("https://www.boe.es/gazeta/dias/1817/07/26/pdfs/GMD-1817-89.pdf#page=8","Abrir facsímil")</f>
        <v>Abrir facsímil</v>
      </c>
      <c r="K2512" s="3" t="s">
        <v>23</v>
      </c>
    </row>
    <row r="2513" spans="1:11" ht="42" customHeight="1">
      <c r="A2513" s="2" t="s">
        <v>5962</v>
      </c>
      <c r="B2513" s="2" t="s">
        <v>5963</v>
      </c>
      <c r="C2513" s="2" t="s">
        <v>43</v>
      </c>
      <c r="D2513" s="2" t="s">
        <v>44</v>
      </c>
      <c r="E2513" s="5">
        <v>-30046</v>
      </c>
      <c r="F2513" s="3" t="s">
        <v>214</v>
      </c>
      <c r="G2513" s="3" t="s">
        <v>275</v>
      </c>
      <c r="H2513" s="2" t="s">
        <v>21</v>
      </c>
      <c r="I2513" s="2" t="s">
        <v>5964</v>
      </c>
      <c r="J2513" s="3" t="str">
        <f>HYPERLINK("https://www.boe.es/gazeta/dias/1817/09/25/pdfs/GMD-1817-115.pdf#page=12","Abrir facsímil")</f>
        <v>Abrir facsímil</v>
      </c>
      <c r="K2513" s="3" t="s">
        <v>23</v>
      </c>
    </row>
    <row r="2514" spans="1:11" ht="42" customHeight="1">
      <c r="A2514" s="2" t="s">
        <v>5965</v>
      </c>
      <c r="B2514" s="2" t="s">
        <v>5966</v>
      </c>
      <c r="C2514" s="2" t="s">
        <v>138</v>
      </c>
      <c r="D2514" s="2" t="s">
        <v>44</v>
      </c>
      <c r="E2514" s="5">
        <v>-30160</v>
      </c>
      <c r="F2514" s="3" t="s">
        <v>116</v>
      </c>
      <c r="G2514" s="3" t="s">
        <v>567</v>
      </c>
      <c r="H2514" s="2" t="s">
        <v>21</v>
      </c>
      <c r="I2514" s="2" t="s">
        <v>5967</v>
      </c>
      <c r="J2514" s="3" t="str">
        <f>HYPERLINK("https://www.boe.es/gazeta/dias/1817/06/03/pdfs/GMD-1817-66.pdf#page=6","Abrir facsímil")</f>
        <v>Abrir facsímil</v>
      </c>
      <c r="K2514" s="3" t="s">
        <v>23</v>
      </c>
    </row>
    <row r="2515" spans="1:11" ht="42" customHeight="1">
      <c r="A2515" s="2" t="s">
        <v>5965</v>
      </c>
      <c r="B2515" s="2" t="s">
        <v>5966</v>
      </c>
      <c r="C2515" s="2" t="s">
        <v>43</v>
      </c>
      <c r="D2515" s="2" t="s">
        <v>44</v>
      </c>
      <c r="E2515" s="5">
        <v>-30160</v>
      </c>
      <c r="F2515" s="3" t="s">
        <v>116</v>
      </c>
      <c r="G2515" s="3" t="s">
        <v>20</v>
      </c>
      <c r="H2515" s="2" t="s">
        <v>21</v>
      </c>
      <c r="I2515" s="2" t="s">
        <v>5968</v>
      </c>
      <c r="J2515" s="3" t="str">
        <f>HYPERLINK("https://www.boe.es/gazeta/dias/1817/06/03/pdfs/GMD-1817-66.pdf#page=7","Abrir facsímil")</f>
        <v>Abrir facsímil</v>
      </c>
      <c r="K2515" s="3" t="s">
        <v>23</v>
      </c>
    </row>
    <row r="2516" spans="1:11" ht="42" customHeight="1">
      <c r="A2516" s="2" t="s">
        <v>5969</v>
      </c>
      <c r="B2516" s="2" t="s">
        <v>5970</v>
      </c>
      <c r="C2516" s="2" t="s">
        <v>43</v>
      </c>
      <c r="D2516" s="2" t="s">
        <v>44</v>
      </c>
      <c r="E2516" s="5">
        <v>-30160</v>
      </c>
      <c r="F2516" s="3" t="s">
        <v>116</v>
      </c>
      <c r="G2516" s="3" t="s">
        <v>20</v>
      </c>
      <c r="H2516" s="2" t="s">
        <v>21</v>
      </c>
      <c r="I2516" s="2" t="s">
        <v>5971</v>
      </c>
      <c r="J2516" s="3" t="str">
        <f>HYPERLINK("https://www.boe.es/gazeta/dias/1817/06/03/pdfs/GMD-1817-66.pdf#page=7","Abrir facsímil")</f>
        <v>Abrir facsímil</v>
      </c>
      <c r="K2516" s="3" t="s">
        <v>23</v>
      </c>
    </row>
    <row r="2517" spans="1:11" ht="42" customHeight="1">
      <c r="A2517" s="2" t="s">
        <v>5972</v>
      </c>
      <c r="B2517" s="2" t="s">
        <v>5973</v>
      </c>
      <c r="C2517" s="2" t="s">
        <v>17</v>
      </c>
      <c r="D2517" s="2" t="s">
        <v>18</v>
      </c>
      <c r="E2517" s="5">
        <v>-30023</v>
      </c>
      <c r="F2517" s="3" t="s">
        <v>460</v>
      </c>
      <c r="G2517" s="3" t="s">
        <v>461</v>
      </c>
      <c r="H2517" s="2" t="s">
        <v>21</v>
      </c>
      <c r="I2517" s="2" t="s">
        <v>5974</v>
      </c>
      <c r="J2517" s="3" t="str">
        <f>HYPERLINK("https://www.boe.es/gazeta/dias/1817/10/18/pdfs/GMD-1817-125.pdf#page=8","Abrir facsímil")</f>
        <v>Abrir facsímil</v>
      </c>
      <c r="K2517" s="3" t="s">
        <v>23</v>
      </c>
    </row>
    <row r="2518" spans="1:11" ht="42" customHeight="1">
      <c r="A2518" s="2" t="s">
        <v>5975</v>
      </c>
      <c r="B2518" s="2" t="s">
        <v>5976</v>
      </c>
      <c r="C2518" s="2" t="s">
        <v>138</v>
      </c>
      <c r="D2518" s="2" t="s">
        <v>44</v>
      </c>
      <c r="E2518" s="5">
        <v>-30160</v>
      </c>
      <c r="F2518" s="3" t="s">
        <v>116</v>
      </c>
      <c r="G2518" s="3" t="s">
        <v>427</v>
      </c>
      <c r="H2518" s="2" t="s">
        <v>21</v>
      </c>
      <c r="I2518" s="2" t="s">
        <v>5977</v>
      </c>
      <c r="J2518" s="3" t="str">
        <f>HYPERLINK("https://www.boe.es/gazeta/dias/1817/06/03/pdfs/GMD-1817-66.pdf#page=8","Abrir facsímil")</f>
        <v>Abrir facsímil</v>
      </c>
      <c r="K2518" s="3" t="s">
        <v>23</v>
      </c>
    </row>
    <row r="2519" spans="1:11" ht="42" customHeight="1">
      <c r="A2519" s="2" t="s">
        <v>5975</v>
      </c>
      <c r="B2519" s="2" t="s">
        <v>5976</v>
      </c>
      <c r="C2519" s="2" t="s">
        <v>97</v>
      </c>
      <c r="D2519" s="2" t="s">
        <v>44</v>
      </c>
      <c r="E2519" s="5">
        <v>-30156</v>
      </c>
      <c r="F2519" s="3" t="s">
        <v>635</v>
      </c>
      <c r="G2519" s="3" t="s">
        <v>77</v>
      </c>
      <c r="H2519" s="2" t="s">
        <v>21</v>
      </c>
      <c r="I2519" s="2" t="s">
        <v>5978</v>
      </c>
      <c r="J2519" s="3" t="str">
        <f>HYPERLINK("https://www.boe.es/gazeta/dias/1817/06/07/pdfs/GMD-1817-68.pdf#page=8","Abrir facsímil")</f>
        <v>Abrir facsímil</v>
      </c>
      <c r="K2519" s="3" t="s">
        <v>23</v>
      </c>
    </row>
    <row r="2520" spans="1:11" ht="42" customHeight="1">
      <c r="A2520" s="2" t="s">
        <v>5979</v>
      </c>
      <c r="B2520" s="2" t="s">
        <v>5980</v>
      </c>
      <c r="C2520" s="2" t="s">
        <v>97</v>
      </c>
      <c r="D2520" s="2" t="s">
        <v>44</v>
      </c>
      <c r="E2520" s="5">
        <v>-30102</v>
      </c>
      <c r="F2520" s="3" t="s">
        <v>502</v>
      </c>
      <c r="G2520" s="3" t="s">
        <v>20</v>
      </c>
      <c r="H2520" s="2" t="s">
        <v>21</v>
      </c>
      <c r="I2520" s="2" t="s">
        <v>5981</v>
      </c>
      <c r="J2520" s="3" t="str">
        <f>HYPERLINK("https://www.boe.es/gazeta/dias/1817/07/31/pdfs/GMD-1817-91.pdf#page=7","Abrir facsímil")</f>
        <v>Abrir facsímil</v>
      </c>
      <c r="K2520" s="3" t="s">
        <v>23</v>
      </c>
    </row>
    <row r="2521" spans="1:11" ht="42" customHeight="1">
      <c r="A2521" s="2" t="s">
        <v>5982</v>
      </c>
      <c r="B2521" s="2" t="s">
        <v>5983</v>
      </c>
      <c r="C2521" s="2" t="s">
        <v>43</v>
      </c>
      <c r="D2521" s="2" t="s">
        <v>44</v>
      </c>
      <c r="E2521" s="5">
        <v>-30102</v>
      </c>
      <c r="F2521" s="3" t="s">
        <v>502</v>
      </c>
      <c r="G2521" s="3" t="s">
        <v>20</v>
      </c>
      <c r="H2521" s="2" t="s">
        <v>21</v>
      </c>
      <c r="I2521" s="2" t="s">
        <v>5984</v>
      </c>
      <c r="J2521" s="3" t="str">
        <f>HYPERLINK("https://www.boe.es/gazeta/dias/1817/07/31/pdfs/GMD-1817-91.pdf#page=7","Abrir facsímil")</f>
        <v>Abrir facsímil</v>
      </c>
      <c r="K2521" s="3" t="s">
        <v>23</v>
      </c>
    </row>
    <row r="2522" spans="1:11" ht="42" customHeight="1">
      <c r="A2522" s="2" t="s">
        <v>5985</v>
      </c>
      <c r="B2522" s="2" t="s">
        <v>5986</v>
      </c>
      <c r="C2522" s="2" t="s">
        <v>36</v>
      </c>
      <c r="D2522" s="2" t="s">
        <v>37</v>
      </c>
      <c r="E2522" s="5">
        <v>-30027</v>
      </c>
      <c r="F2522" s="3" t="s">
        <v>173</v>
      </c>
      <c r="G2522" s="3" t="s">
        <v>708</v>
      </c>
      <c r="H2522" s="2" t="s">
        <v>21</v>
      </c>
      <c r="I2522" s="2" t="s">
        <v>5987</v>
      </c>
      <c r="J2522" s="3" t="str">
        <f>HYPERLINK("https://www.boe.es/gazeta/dias/1817/10/14/pdfs/GMD-1817-123.pdf#page=6","Abrir facsímil")</f>
        <v>Abrir facsímil</v>
      </c>
      <c r="K2522" s="3" t="s">
        <v>23</v>
      </c>
    </row>
    <row r="2523" spans="1:11" ht="42" customHeight="1">
      <c r="A2523" s="2" t="s">
        <v>5988</v>
      </c>
      <c r="B2523" s="2" t="s">
        <v>5988</v>
      </c>
      <c r="C2523" s="2" t="s">
        <v>36</v>
      </c>
      <c r="D2523" s="2" t="s">
        <v>37</v>
      </c>
      <c r="E2523" s="5">
        <v>-30051</v>
      </c>
      <c r="F2523" s="3" t="s">
        <v>26</v>
      </c>
      <c r="G2523" s="3" t="s">
        <v>551</v>
      </c>
      <c r="H2523" s="2" t="s">
        <v>21</v>
      </c>
      <c r="I2523" s="2" t="s">
        <v>5989</v>
      </c>
      <c r="J2523" s="3" t="str">
        <f>HYPERLINK("https://www.boe.es/gazeta/dias/1817/09/20/pdfs/GMD-1817-113.pdf#page=3","Abrir facsímil")</f>
        <v>Abrir facsímil</v>
      </c>
      <c r="K2523" s="3" t="s">
        <v>23</v>
      </c>
    </row>
    <row r="2524" spans="1:11" ht="42" customHeight="1">
      <c r="A2524" s="2" t="s">
        <v>5990</v>
      </c>
      <c r="B2524" s="2" t="s">
        <v>5991</v>
      </c>
      <c r="C2524" s="2" t="s">
        <v>36</v>
      </c>
      <c r="D2524" s="2" t="s">
        <v>37</v>
      </c>
      <c r="E2524" s="5">
        <v>-30065</v>
      </c>
      <c r="F2524" s="3" t="s">
        <v>201</v>
      </c>
      <c r="G2524" s="3" t="s">
        <v>20</v>
      </c>
      <c r="H2524" s="2" t="s">
        <v>21</v>
      </c>
      <c r="I2524" s="2" t="s">
        <v>5992</v>
      </c>
      <c r="J2524" s="3" t="str">
        <f>HYPERLINK("https://www.boe.es/gazeta/dias/1817/09/06/pdfs/GMD-1817-107.pdf#page=7","Abrir facsímil")</f>
        <v>Abrir facsímil</v>
      </c>
      <c r="K2524" s="3" t="s">
        <v>23</v>
      </c>
    </row>
    <row r="2525" spans="1:11" ht="42" customHeight="1">
      <c r="A2525" s="2" t="s">
        <v>5993</v>
      </c>
      <c r="B2525" s="2" t="s">
        <v>5994</v>
      </c>
      <c r="C2525" s="2" t="s">
        <v>36</v>
      </c>
      <c r="D2525" s="2" t="s">
        <v>37</v>
      </c>
      <c r="E2525" s="5">
        <v>-29964</v>
      </c>
      <c r="F2525" s="3" t="s">
        <v>482</v>
      </c>
      <c r="G2525" s="3" t="s">
        <v>483</v>
      </c>
      <c r="H2525" s="2" t="s">
        <v>21</v>
      </c>
      <c r="I2525" s="2" t="s">
        <v>5995</v>
      </c>
      <c r="J2525" s="3" t="str">
        <f>HYPERLINK("https://www.boe.es/gazeta/dias/1817/12/16/pdfs/GMD-1817-150.pdf#page=12","Abrir facsímil")</f>
        <v>Abrir facsímil</v>
      </c>
      <c r="K2525" s="3" t="s">
        <v>23</v>
      </c>
    </row>
    <row r="2526" spans="1:11" ht="42" customHeight="1">
      <c r="A2526" s="2" t="s">
        <v>5996</v>
      </c>
      <c r="B2526" s="2" t="s">
        <v>5996</v>
      </c>
      <c r="C2526" s="2" t="s">
        <v>97</v>
      </c>
      <c r="D2526" s="2" t="s">
        <v>44</v>
      </c>
      <c r="E2526" s="5">
        <v>-30198</v>
      </c>
      <c r="F2526" s="3" t="s">
        <v>2185</v>
      </c>
      <c r="G2526" s="3" t="s">
        <v>551</v>
      </c>
      <c r="H2526" s="2" t="s">
        <v>21</v>
      </c>
      <c r="I2526" s="2" t="s">
        <v>5997</v>
      </c>
      <c r="J2526" s="3" t="str">
        <f>HYPERLINK("https://www.boe.es/gazeta/dias/1817/04/26/pdfs/GMD-1817-50.pdf#page=3","Abrir facsímil")</f>
        <v>Abrir facsímil</v>
      </c>
      <c r="K2526" s="3" t="s">
        <v>23</v>
      </c>
    </row>
    <row r="2527" spans="1:11" ht="42" customHeight="1">
      <c r="A2527" s="2" t="s">
        <v>5998</v>
      </c>
      <c r="B2527" s="2" t="s">
        <v>5998</v>
      </c>
      <c r="C2527" s="2" t="s">
        <v>36</v>
      </c>
      <c r="D2527" s="2" t="s">
        <v>37</v>
      </c>
      <c r="E2527" s="5">
        <v>-30044</v>
      </c>
      <c r="F2527" s="3" t="s">
        <v>450</v>
      </c>
      <c r="G2527" s="3" t="s">
        <v>72</v>
      </c>
      <c r="H2527" s="2" t="s">
        <v>21</v>
      </c>
      <c r="I2527" s="2" t="s">
        <v>5999</v>
      </c>
      <c r="J2527" s="3" t="str">
        <f>HYPERLINK("https://www.boe.es/gazeta/dias/1817/09/27/pdfs/GMD-1817-116.pdf#page=1","Abrir facsímil")</f>
        <v>Abrir facsímil</v>
      </c>
      <c r="K2527" s="3" t="s">
        <v>23</v>
      </c>
    </row>
    <row r="2528" spans="1:11" ht="42" customHeight="1">
      <c r="A2528" s="2" t="s">
        <v>6000</v>
      </c>
      <c r="B2528" s="2" t="s">
        <v>6001</v>
      </c>
      <c r="C2528" s="2" t="s">
        <v>17</v>
      </c>
      <c r="D2528" s="2" t="s">
        <v>18</v>
      </c>
      <c r="E2528" s="5">
        <v>-30249</v>
      </c>
      <c r="F2528" s="3" t="s">
        <v>120</v>
      </c>
      <c r="G2528" s="3" t="s">
        <v>39</v>
      </c>
      <c r="H2528" s="2" t="s">
        <v>21</v>
      </c>
      <c r="I2528" s="2" t="s">
        <v>6002</v>
      </c>
      <c r="J2528" s="3" t="str">
        <f>HYPERLINK("https://www.boe.es/gazeta/dias/1817/03/06/pdfs/GMD-1817-28.pdf#page=5","Abrir facsímil")</f>
        <v>Abrir facsímil</v>
      </c>
      <c r="K2528" s="3" t="s">
        <v>23</v>
      </c>
    </row>
    <row r="2529" spans="1:11" ht="42" customHeight="1">
      <c r="A2529" s="2" t="s">
        <v>6003</v>
      </c>
      <c r="B2529" s="2" t="s">
        <v>6004</v>
      </c>
      <c r="C2529" s="2" t="s">
        <v>43</v>
      </c>
      <c r="D2529" s="2" t="s">
        <v>44</v>
      </c>
      <c r="E2529" s="5">
        <v>-29988</v>
      </c>
      <c r="F2529" s="3" t="s">
        <v>569</v>
      </c>
      <c r="G2529" s="3" t="s">
        <v>112</v>
      </c>
      <c r="H2529" s="2" t="s">
        <v>21</v>
      </c>
      <c r="I2529" s="2" t="s">
        <v>6005</v>
      </c>
      <c r="J2529" s="3" t="str">
        <f>HYPERLINK("https://www.boe.es/gazeta/dias/1817/11/22/pdfs/GMD-1817-140.pdf#page=11","Abrir facsímil")</f>
        <v>Abrir facsímil</v>
      </c>
      <c r="K2529" s="3" t="s">
        <v>23</v>
      </c>
    </row>
    <row r="2530" spans="1:11" ht="42" customHeight="1">
      <c r="A2530" s="2" t="s">
        <v>6006</v>
      </c>
      <c r="B2530" s="2" t="s">
        <v>6007</v>
      </c>
      <c r="C2530" s="2" t="s">
        <v>43</v>
      </c>
      <c r="D2530" s="2" t="s">
        <v>44</v>
      </c>
      <c r="E2530" s="5">
        <v>-29988</v>
      </c>
      <c r="F2530" s="3" t="s">
        <v>569</v>
      </c>
      <c r="G2530" s="3" t="s">
        <v>112</v>
      </c>
      <c r="H2530" s="2" t="s">
        <v>21</v>
      </c>
      <c r="I2530" s="2" t="s">
        <v>6008</v>
      </c>
      <c r="J2530" s="3" t="str">
        <f>HYPERLINK("https://www.boe.es/gazeta/dias/1817/11/22/pdfs/GMD-1817-140.pdf#page=11","Abrir facsímil")</f>
        <v>Abrir facsímil</v>
      </c>
      <c r="K2530" s="3" t="s">
        <v>23</v>
      </c>
    </row>
    <row r="2531" spans="1:11" ht="42" customHeight="1">
      <c r="A2531" s="2" t="s">
        <v>6009</v>
      </c>
      <c r="B2531" s="2" t="s">
        <v>6010</v>
      </c>
      <c r="C2531" s="2" t="s">
        <v>36</v>
      </c>
      <c r="D2531" s="2" t="s">
        <v>37</v>
      </c>
      <c r="E2531" s="5">
        <v>-30275</v>
      </c>
      <c r="F2531" s="3" t="s">
        <v>1025</v>
      </c>
      <c r="G2531" s="3" t="s">
        <v>77</v>
      </c>
      <c r="H2531" s="2" t="s">
        <v>21</v>
      </c>
      <c r="I2531" s="2" t="s">
        <v>6011</v>
      </c>
      <c r="J2531" s="3" t="str">
        <f>HYPERLINK("https://www.boe.es/gazeta/dias/1817/02/08/pdfs/GMD-1817-17.pdf#page=8","Abrir facsímil")</f>
        <v>Abrir facsímil</v>
      </c>
      <c r="K2531" s="3" t="s">
        <v>23</v>
      </c>
    </row>
    <row r="2532" spans="1:11" ht="42" customHeight="1">
      <c r="A2532" s="2" t="s">
        <v>6012</v>
      </c>
      <c r="B2532" s="2" t="s">
        <v>6012</v>
      </c>
      <c r="C2532" s="2" t="s">
        <v>36</v>
      </c>
      <c r="D2532" s="2" t="s">
        <v>37</v>
      </c>
      <c r="E2532" s="5">
        <v>-30116</v>
      </c>
      <c r="F2532" s="3" t="s">
        <v>319</v>
      </c>
      <c r="G2532" s="3" t="s">
        <v>144</v>
      </c>
      <c r="H2532" s="2" t="s">
        <v>21</v>
      </c>
      <c r="I2532" s="2" t="s">
        <v>6013</v>
      </c>
      <c r="J2532" s="3" t="str">
        <f>HYPERLINK("https://www.boe.es/gazeta/dias/1817/07/17/pdfs/GMD-1817-85.pdf#page=4","Abrir facsímil")</f>
        <v>Abrir facsímil</v>
      </c>
      <c r="K2532" s="3" t="s">
        <v>23</v>
      </c>
    </row>
    <row r="2533" spans="1:11" ht="42" customHeight="1">
      <c r="A2533" s="2" t="s">
        <v>6014</v>
      </c>
      <c r="B2533" s="2" t="s">
        <v>6014</v>
      </c>
      <c r="C2533" s="2" t="s">
        <v>138</v>
      </c>
      <c r="D2533" s="2" t="s">
        <v>44</v>
      </c>
      <c r="E2533" s="5">
        <v>-30011</v>
      </c>
      <c r="F2533" s="3" t="s">
        <v>313</v>
      </c>
      <c r="G2533" s="3" t="s">
        <v>82</v>
      </c>
      <c r="H2533" s="2" t="s">
        <v>21</v>
      </c>
      <c r="I2533" s="2" t="s">
        <v>6015</v>
      </c>
      <c r="J2533" s="3" t="str">
        <f>HYPERLINK("https://www.boe.es/gazeta/dias/1817/10/30/pdfs/GMD-1817-130.pdf#page=12","Abrir facsímil")</f>
        <v>Abrir facsímil</v>
      </c>
      <c r="K2533" s="3" t="s">
        <v>23</v>
      </c>
    </row>
    <row r="2534" spans="1:11" ht="42" customHeight="1">
      <c r="A2534" s="2" t="s">
        <v>6016</v>
      </c>
      <c r="B2534" s="2" t="s">
        <v>6017</v>
      </c>
      <c r="C2534" s="2" t="s">
        <v>36</v>
      </c>
      <c r="D2534" s="2" t="s">
        <v>37</v>
      </c>
      <c r="E2534" s="5">
        <v>-30300</v>
      </c>
      <c r="F2534" s="3" t="s">
        <v>164</v>
      </c>
      <c r="G2534" s="3" t="s">
        <v>20</v>
      </c>
      <c r="H2534" s="2" t="s">
        <v>21</v>
      </c>
      <c r="I2534" s="2" t="s">
        <v>6018</v>
      </c>
      <c r="J2534" s="3" t="str">
        <f>HYPERLINK("https://www.boe.es/gazeta/dias/1817/01/14/pdfs/GMD-1817-6.pdf#page=7","Abrir facsímil")</f>
        <v>Abrir facsímil</v>
      </c>
      <c r="K2534" s="3" t="s">
        <v>23</v>
      </c>
    </row>
    <row r="2535" spans="1:11" ht="42" customHeight="1">
      <c r="A2535" s="2" t="s">
        <v>6019</v>
      </c>
      <c r="B2535" s="2" t="s">
        <v>6020</v>
      </c>
      <c r="C2535" s="2" t="s">
        <v>49</v>
      </c>
      <c r="D2535" s="2" t="s">
        <v>44</v>
      </c>
      <c r="E2535" s="5">
        <v>-29988</v>
      </c>
      <c r="F2535" s="3" t="s">
        <v>569</v>
      </c>
      <c r="G2535" s="3" t="s">
        <v>2654</v>
      </c>
      <c r="H2535" s="2" t="s">
        <v>21</v>
      </c>
      <c r="I2535" s="2" t="s">
        <v>6021</v>
      </c>
      <c r="J2535" s="3" t="str">
        <f>HYPERLINK("https://www.boe.es/gazeta/dias/1817/11/22/pdfs/GMD-1817-140.pdf#page=12","Abrir facsímil")</f>
        <v>Abrir facsímil</v>
      </c>
      <c r="K2535" s="3" t="s">
        <v>23</v>
      </c>
    </row>
    <row r="2536" spans="1:11" ht="42" customHeight="1">
      <c r="A2536" s="2" t="s">
        <v>6022</v>
      </c>
      <c r="B2536" s="2" t="s">
        <v>6022</v>
      </c>
      <c r="C2536" s="2" t="s">
        <v>43</v>
      </c>
      <c r="D2536" s="2" t="s">
        <v>44</v>
      </c>
      <c r="E2536" s="5">
        <v>-30123</v>
      </c>
      <c r="F2536" s="3" t="s">
        <v>848</v>
      </c>
      <c r="G2536" s="3" t="s">
        <v>849</v>
      </c>
      <c r="H2536" s="2" t="s">
        <v>21</v>
      </c>
      <c r="I2536" s="2" t="s">
        <v>6023</v>
      </c>
      <c r="J2536" s="3" t="str">
        <f>HYPERLINK("https://www.boe.es/gazeta/dias/1817/07/10/pdfs/GMD-1817-82.pdf#page=4","Abrir facsímil")</f>
        <v>Abrir facsímil</v>
      </c>
      <c r="K2536" s="3" t="s">
        <v>23</v>
      </c>
    </row>
    <row r="2537" spans="1:11" ht="42" customHeight="1">
      <c r="A2537" s="2" t="s">
        <v>6024</v>
      </c>
      <c r="B2537" s="2" t="s">
        <v>6025</v>
      </c>
      <c r="C2537" s="2" t="s">
        <v>97</v>
      </c>
      <c r="D2537" s="2" t="s">
        <v>44</v>
      </c>
      <c r="E2537" s="5">
        <v>-30230</v>
      </c>
      <c r="F2537" s="3" t="s">
        <v>189</v>
      </c>
      <c r="G2537" s="3" t="s">
        <v>20</v>
      </c>
      <c r="H2537" s="2" t="s">
        <v>21</v>
      </c>
      <c r="I2537" s="2" t="s">
        <v>6026</v>
      </c>
      <c r="J2537" s="3" t="str">
        <f>HYPERLINK("https://www.boe.es/gazeta/dias/1817/03/25/pdfs/GMD-1817-36.pdf#page=7","Abrir facsímil")</f>
        <v>Abrir facsímil</v>
      </c>
      <c r="K2537" s="3" t="s">
        <v>23</v>
      </c>
    </row>
    <row r="2538" spans="1:11" ht="42" customHeight="1">
      <c r="A2538" s="2" t="s">
        <v>6027</v>
      </c>
      <c r="B2538" s="2" t="s">
        <v>6028</v>
      </c>
      <c r="C2538" s="2" t="s">
        <v>97</v>
      </c>
      <c r="D2538" s="2" t="s">
        <v>44</v>
      </c>
      <c r="E2538" s="5">
        <v>-30149</v>
      </c>
      <c r="F2538" s="3" t="s">
        <v>430</v>
      </c>
      <c r="G2538" s="3" t="s">
        <v>144</v>
      </c>
      <c r="H2538" s="2" t="s">
        <v>21</v>
      </c>
      <c r="I2538" s="2" t="s">
        <v>6029</v>
      </c>
      <c r="J2538" s="3" t="str">
        <f>HYPERLINK("https://www.boe.es/gazeta/dias/1817/06/14/pdfs/GMD-1817-71.pdf#page=4","Abrir facsímil")</f>
        <v>Abrir facsímil</v>
      </c>
      <c r="K2538" s="3" t="s">
        <v>23</v>
      </c>
    </row>
    <row r="2539" spans="1:11" ht="42" customHeight="1">
      <c r="A2539" s="2" t="s">
        <v>6030</v>
      </c>
      <c r="B2539" s="2" t="s">
        <v>6030</v>
      </c>
      <c r="C2539" s="2" t="s">
        <v>17</v>
      </c>
      <c r="D2539" s="2" t="s">
        <v>18</v>
      </c>
      <c r="E2539" s="5">
        <v>-30139</v>
      </c>
      <c r="F2539" s="3" t="s">
        <v>993</v>
      </c>
      <c r="G2539" s="3" t="s">
        <v>629</v>
      </c>
      <c r="H2539" s="2" t="s">
        <v>21</v>
      </c>
      <c r="I2539" s="2" t="s">
        <v>6031</v>
      </c>
      <c r="J2539" s="3" t="str">
        <f>HYPERLINK("https://www.boe.es/gazeta/dias/1817/06/24/pdfs/GMD-1817-75.pdf#page=2","Abrir facsímil")</f>
        <v>Abrir facsímil</v>
      </c>
      <c r="K2539" s="3" t="s">
        <v>23</v>
      </c>
    </row>
    <row r="2540" spans="1:11" ht="42" customHeight="1">
      <c r="A2540" s="2" t="s">
        <v>6032</v>
      </c>
      <c r="B2540" s="2" t="s">
        <v>6032</v>
      </c>
      <c r="C2540" s="2" t="s">
        <v>43</v>
      </c>
      <c r="D2540" s="2" t="s">
        <v>44</v>
      </c>
      <c r="E2540" s="5">
        <v>-30013</v>
      </c>
      <c r="F2540" s="3" t="s">
        <v>464</v>
      </c>
      <c r="G2540" s="3" t="s">
        <v>39</v>
      </c>
      <c r="H2540" s="2" t="s">
        <v>21</v>
      </c>
      <c r="I2540" s="2" t="s">
        <v>6033</v>
      </c>
      <c r="J2540" s="3" t="str">
        <f>HYPERLINK("https://www.boe.es/gazeta/dias/1817/10/28/pdfs/GMD-1817-129.pdf#page=5","Abrir facsímil")</f>
        <v>Abrir facsímil</v>
      </c>
      <c r="K2540" s="3" t="s">
        <v>23</v>
      </c>
    </row>
    <row r="2541" spans="1:11" ht="42" customHeight="1">
      <c r="A2541" s="2" t="s">
        <v>6034</v>
      </c>
      <c r="B2541" s="2" t="s">
        <v>6034</v>
      </c>
      <c r="C2541" s="2" t="s">
        <v>36</v>
      </c>
      <c r="D2541" s="2" t="s">
        <v>37</v>
      </c>
      <c r="E2541" s="5">
        <v>-30202</v>
      </c>
      <c r="F2541" s="3" t="s">
        <v>418</v>
      </c>
      <c r="G2541" s="3" t="s">
        <v>1262</v>
      </c>
      <c r="H2541" s="2" t="s">
        <v>21</v>
      </c>
      <c r="I2541" s="2" t="s">
        <v>6035</v>
      </c>
      <c r="J2541" s="3" t="str">
        <f>HYPERLINK("https://www.boe.es/gazeta/dias/1817/04/22/pdfs/GMD-1817-48.pdf#page=2","Abrir facsímil")</f>
        <v>Abrir facsímil</v>
      </c>
      <c r="K2541" s="3" t="s">
        <v>23</v>
      </c>
    </row>
    <row r="2542" spans="1:11" ht="42" customHeight="1">
      <c r="A2542" s="2" t="s">
        <v>6034</v>
      </c>
      <c r="B2542" s="2" t="s">
        <v>6034</v>
      </c>
      <c r="C2542" s="2" t="s">
        <v>36</v>
      </c>
      <c r="D2542" s="2" t="s">
        <v>37</v>
      </c>
      <c r="E2542" s="5">
        <v>-30195</v>
      </c>
      <c r="F2542" s="3" t="s">
        <v>1163</v>
      </c>
      <c r="G2542" s="3" t="s">
        <v>1851</v>
      </c>
      <c r="H2542" s="2" t="s">
        <v>21</v>
      </c>
      <c r="I2542" s="2" t="s">
        <v>6036</v>
      </c>
      <c r="J2542" s="3" t="str">
        <f>HYPERLINK("https://www.boe.es/gazeta/dias/1817/04/29/pdfs/GMD-1817-51.pdf#page=2","Abrir facsímil")</f>
        <v>Abrir facsímil</v>
      </c>
      <c r="K2542" s="3" t="s">
        <v>23</v>
      </c>
    </row>
    <row r="2543" spans="1:11" ht="42" customHeight="1">
      <c r="A2543" s="2" t="s">
        <v>6037</v>
      </c>
      <c r="B2543" s="2" t="s">
        <v>6038</v>
      </c>
      <c r="C2543" s="2" t="s">
        <v>43</v>
      </c>
      <c r="D2543" s="2" t="s">
        <v>44</v>
      </c>
      <c r="E2543" s="5">
        <v>-30307</v>
      </c>
      <c r="F2543" s="3" t="s">
        <v>67</v>
      </c>
      <c r="G2543" s="3" t="s">
        <v>68</v>
      </c>
      <c r="H2543" s="2" t="s">
        <v>27</v>
      </c>
      <c r="I2543" s="2" t="s">
        <v>6039</v>
      </c>
      <c r="J2543" s="3" t="str">
        <f>HYPERLINK("https://www.boe.es/gazeta/dias/1817/01/07/pdfs/GMD-1817-3.pdf#page=8","Abrir facsímil")</f>
        <v>Abrir facsímil</v>
      </c>
      <c r="K2543" s="3" t="s">
        <v>29</v>
      </c>
    </row>
    <row r="2544" spans="1:11" ht="42" customHeight="1">
      <c r="A2544" s="2" t="s">
        <v>6040</v>
      </c>
      <c r="B2544" s="2" t="s">
        <v>6041</v>
      </c>
      <c r="C2544" s="2" t="s">
        <v>36</v>
      </c>
      <c r="D2544" s="2" t="s">
        <v>37</v>
      </c>
      <c r="E2544" s="5">
        <v>-30109</v>
      </c>
      <c r="F2544" s="3" t="s">
        <v>205</v>
      </c>
      <c r="G2544" s="3" t="s">
        <v>1464</v>
      </c>
      <c r="H2544" s="2" t="s">
        <v>21</v>
      </c>
      <c r="I2544" s="2" t="s">
        <v>6042</v>
      </c>
      <c r="J2544" s="3" t="str">
        <f>HYPERLINK("https://www.boe.es/gazeta/dias/1817/07/24/pdfs/GMD-1817-88.pdf#page=13","Abrir facsímil")</f>
        <v>Abrir facsímil</v>
      </c>
      <c r="K2544" s="3" t="s">
        <v>23</v>
      </c>
    </row>
    <row r="2545" spans="1:11" ht="42" customHeight="1">
      <c r="A2545" s="2" t="s">
        <v>6043</v>
      </c>
      <c r="B2545" s="2" t="s">
        <v>6044</v>
      </c>
      <c r="C2545" s="2" t="s">
        <v>43</v>
      </c>
      <c r="D2545" s="2" t="s">
        <v>44</v>
      </c>
      <c r="E2545" s="5">
        <v>-30020</v>
      </c>
      <c r="F2545" s="3" t="s">
        <v>291</v>
      </c>
      <c r="G2545" s="3" t="s">
        <v>144</v>
      </c>
      <c r="H2545" s="2" t="s">
        <v>21</v>
      </c>
      <c r="I2545" s="2" t="s">
        <v>6045</v>
      </c>
      <c r="J2545" s="3" t="str">
        <f>HYPERLINK("https://www.boe.es/gazeta/dias/1817/10/21/pdfs/GMD-1817-126.pdf#page=4","Abrir facsímil")</f>
        <v>Abrir facsímil</v>
      </c>
      <c r="K2545" s="3" t="s">
        <v>23</v>
      </c>
    </row>
    <row r="2546" spans="1:11" ht="42" customHeight="1">
      <c r="A2546" s="2" t="s">
        <v>6046</v>
      </c>
      <c r="B2546" s="2" t="s">
        <v>6047</v>
      </c>
      <c r="C2546" s="2" t="s">
        <v>97</v>
      </c>
      <c r="D2546" s="2" t="s">
        <v>44</v>
      </c>
      <c r="E2546" s="5">
        <v>-30130</v>
      </c>
      <c r="F2546" s="3" t="s">
        <v>768</v>
      </c>
      <c r="G2546" s="3" t="s">
        <v>77</v>
      </c>
      <c r="H2546" s="2" t="s">
        <v>21</v>
      </c>
      <c r="I2546" s="2" t="s">
        <v>6048</v>
      </c>
      <c r="J2546" s="3" t="str">
        <f>HYPERLINK("https://www.boe.es/gazeta/dias/1817/07/03/pdfs/GMD-1817-79.pdf#page=8","Abrir facsímil")</f>
        <v>Abrir facsímil</v>
      </c>
      <c r="K2546" s="3" t="s">
        <v>23</v>
      </c>
    </row>
    <row r="2547" spans="1:11" ht="42" customHeight="1">
      <c r="A2547" s="2" t="s">
        <v>6049</v>
      </c>
      <c r="B2547" s="2" t="s">
        <v>6050</v>
      </c>
      <c r="C2547" s="2" t="s">
        <v>97</v>
      </c>
      <c r="D2547" s="2" t="s">
        <v>44</v>
      </c>
      <c r="E2547" s="5">
        <v>-30039</v>
      </c>
      <c r="F2547" s="3" t="s">
        <v>558</v>
      </c>
      <c r="G2547" s="3" t="s">
        <v>77</v>
      </c>
      <c r="H2547" s="2" t="s">
        <v>27</v>
      </c>
      <c r="I2547" s="2" t="s">
        <v>6051</v>
      </c>
      <c r="J2547" s="3" t="str">
        <f>HYPERLINK("https://www.boe.es/gazeta/dias/1817/10/02/pdfs/GMD-1817-118.pdf#page=8","Abrir facsímil")</f>
        <v>Abrir facsímil</v>
      </c>
      <c r="K2547" s="3" t="s">
        <v>29</v>
      </c>
    </row>
    <row r="2548" spans="1:11" ht="42" customHeight="1">
      <c r="A2548" s="2" t="s">
        <v>6052</v>
      </c>
      <c r="B2548" s="2" t="s">
        <v>6053</v>
      </c>
      <c r="C2548" s="2" t="s">
        <v>138</v>
      </c>
      <c r="D2548" s="2" t="s">
        <v>44</v>
      </c>
      <c r="E2548" s="5">
        <v>-30284</v>
      </c>
      <c r="F2548" s="3" t="s">
        <v>741</v>
      </c>
      <c r="G2548" s="3" t="s">
        <v>20</v>
      </c>
      <c r="H2548" s="2" t="s">
        <v>21</v>
      </c>
      <c r="I2548" s="2" t="s">
        <v>6054</v>
      </c>
      <c r="J2548" s="3" t="str">
        <f>HYPERLINK("https://www.boe.es/gazeta/dias/1817/01/30/pdfs/GMD-1817-13.pdf#page=7","Abrir facsímil")</f>
        <v>Abrir facsímil</v>
      </c>
      <c r="K2548" s="3" t="s">
        <v>23</v>
      </c>
    </row>
    <row r="2549" spans="1:11" ht="42" customHeight="1">
      <c r="A2549" s="2" t="s">
        <v>6055</v>
      </c>
      <c r="B2549" s="2" t="s">
        <v>6056</v>
      </c>
      <c r="C2549" s="2" t="s">
        <v>17</v>
      </c>
      <c r="D2549" s="2" t="s">
        <v>18</v>
      </c>
      <c r="E2549" s="5">
        <v>-30116</v>
      </c>
      <c r="F2549" s="3" t="s">
        <v>319</v>
      </c>
      <c r="G2549" s="3" t="s">
        <v>77</v>
      </c>
      <c r="H2549" s="2" t="s">
        <v>21</v>
      </c>
      <c r="I2549" s="2" t="s">
        <v>6057</v>
      </c>
      <c r="J2549" s="3" t="str">
        <f>HYPERLINK("https://www.boe.es/gazeta/dias/1817/07/17/pdfs/GMD-1817-85.pdf#page=8","Abrir facsímil")</f>
        <v>Abrir facsímil</v>
      </c>
      <c r="K2549" s="3" t="s">
        <v>23</v>
      </c>
    </row>
    <row r="2550" spans="1:11" ht="42" customHeight="1">
      <c r="A2550" s="2" t="s">
        <v>6058</v>
      </c>
      <c r="B2550" s="2" t="s">
        <v>6059</v>
      </c>
      <c r="C2550" s="2" t="s">
        <v>138</v>
      </c>
      <c r="D2550" s="2" t="s">
        <v>44</v>
      </c>
      <c r="E2550" s="5">
        <v>-30065</v>
      </c>
      <c r="F2550" s="3" t="s">
        <v>201</v>
      </c>
      <c r="G2550" s="3" t="s">
        <v>57</v>
      </c>
      <c r="H2550" s="2" t="s">
        <v>21</v>
      </c>
      <c r="I2550" s="2" t="s">
        <v>6060</v>
      </c>
      <c r="J2550" s="3" t="str">
        <f>HYPERLINK("https://www.boe.es/gazeta/dias/1817/09/06/pdfs/GMD-1817-107.pdf#page=6","Abrir facsímil")</f>
        <v>Abrir facsímil</v>
      </c>
      <c r="K2550" s="3" t="s">
        <v>23</v>
      </c>
    </row>
    <row r="2551" spans="1:11" ht="42" customHeight="1">
      <c r="A2551" s="2" t="s">
        <v>6061</v>
      </c>
      <c r="B2551" s="2" t="s">
        <v>6062</v>
      </c>
      <c r="C2551" s="2" t="s">
        <v>17</v>
      </c>
      <c r="D2551" s="2" t="s">
        <v>18</v>
      </c>
      <c r="E2551" s="5">
        <v>-29985</v>
      </c>
      <c r="F2551" s="3" t="s">
        <v>76</v>
      </c>
      <c r="G2551" s="3" t="s">
        <v>112</v>
      </c>
      <c r="H2551" s="2" t="s">
        <v>27</v>
      </c>
      <c r="I2551" s="2" t="s">
        <v>6063</v>
      </c>
      <c r="J2551" s="3" t="str">
        <f>HYPERLINK("https://www.boe.es/gazeta/dias/1817/11/25/pdfs/GMD-1817-141.pdf#page=11","Abrir facsímil")</f>
        <v>Abrir facsímil</v>
      </c>
      <c r="K2551" s="3" t="s">
        <v>29</v>
      </c>
    </row>
    <row r="2552" spans="1:11" ht="42" customHeight="1">
      <c r="A2552" s="2" t="s">
        <v>6064</v>
      </c>
      <c r="B2552" s="2" t="s">
        <v>6065</v>
      </c>
      <c r="C2552" s="2" t="s">
        <v>17</v>
      </c>
      <c r="D2552" s="2" t="s">
        <v>18</v>
      </c>
      <c r="E2552" s="5">
        <v>-30263</v>
      </c>
      <c r="F2552" s="3" t="s">
        <v>1794</v>
      </c>
      <c r="G2552" s="3" t="s">
        <v>4496</v>
      </c>
      <c r="H2552" s="2" t="s">
        <v>21</v>
      </c>
      <c r="I2552" s="2" t="s">
        <v>6066</v>
      </c>
      <c r="J2552" s="3" t="str">
        <f>HYPERLINK("https://www.boe.es/gazeta/dias/1817/02/20/pdfs/GMD-1817-22.pdf#page=8","Abrir facsímil")</f>
        <v>Abrir facsímil</v>
      </c>
      <c r="K2552" s="3" t="s">
        <v>23</v>
      </c>
    </row>
    <row r="2553" spans="1:11" ht="42" customHeight="1">
      <c r="A2553" s="2" t="s">
        <v>6067</v>
      </c>
      <c r="B2553" s="2" t="s">
        <v>6067</v>
      </c>
      <c r="C2553" s="2" t="s">
        <v>36</v>
      </c>
      <c r="D2553" s="2" t="s">
        <v>37</v>
      </c>
      <c r="E2553" s="5">
        <v>-30142</v>
      </c>
      <c r="F2553" s="3" t="s">
        <v>286</v>
      </c>
      <c r="G2553" s="3" t="s">
        <v>551</v>
      </c>
      <c r="H2553" s="2" t="s">
        <v>21</v>
      </c>
      <c r="I2553" s="2" t="s">
        <v>6068</v>
      </c>
      <c r="J2553" s="3" t="str">
        <f>HYPERLINK("https://www.boe.es/gazeta/dias/1817/06/21/pdfs/GMD-1817-74.pdf#page=3","Abrir facsímil")</f>
        <v>Abrir facsímil</v>
      </c>
      <c r="K2553" s="3" t="s">
        <v>23</v>
      </c>
    </row>
    <row r="2554" spans="1:11" ht="42" customHeight="1">
      <c r="A2554" s="2" t="s">
        <v>6069</v>
      </c>
      <c r="B2554" s="2" t="s">
        <v>6069</v>
      </c>
      <c r="C2554" s="2" t="s">
        <v>55</v>
      </c>
      <c r="D2554" s="2" t="s">
        <v>44</v>
      </c>
      <c r="E2554" s="5">
        <v>-30074</v>
      </c>
      <c r="F2554" s="3" t="s">
        <v>368</v>
      </c>
      <c r="G2554" s="3" t="s">
        <v>629</v>
      </c>
      <c r="H2554" s="2" t="s">
        <v>21</v>
      </c>
      <c r="I2554" s="2" t="s">
        <v>6070</v>
      </c>
      <c r="J2554" s="3" t="str">
        <f>HYPERLINK("https://www.boe.es/gazeta/dias/1817/08/28/pdfs/GMD-1817-103.pdf#page=2","Abrir facsímil")</f>
        <v>Abrir facsímil</v>
      </c>
      <c r="K2554" s="3" t="s">
        <v>23</v>
      </c>
    </row>
    <row r="2555" spans="1:11" ht="42" customHeight="1">
      <c r="A2555" s="2" t="s">
        <v>6071</v>
      </c>
      <c r="B2555" s="2" t="s">
        <v>6071</v>
      </c>
      <c r="C2555" s="2" t="s">
        <v>55</v>
      </c>
      <c r="D2555" s="2" t="s">
        <v>44</v>
      </c>
      <c r="E2555" s="5">
        <v>-29990</v>
      </c>
      <c r="F2555" s="3" t="s">
        <v>542</v>
      </c>
      <c r="G2555" s="3" t="s">
        <v>551</v>
      </c>
      <c r="H2555" s="2" t="s">
        <v>21</v>
      </c>
      <c r="I2555" s="2" t="s">
        <v>6072</v>
      </c>
      <c r="J2555" s="3" t="str">
        <f>HYPERLINK("https://www.boe.es/gazeta/dias/1817/11/20/pdfs/GMD-1817-139.pdf#page=3","Abrir facsímil")</f>
        <v>Abrir facsímil</v>
      </c>
      <c r="K2555" s="3" t="s">
        <v>23</v>
      </c>
    </row>
    <row r="2556" spans="1:11" ht="42" customHeight="1">
      <c r="A2556" s="2" t="s">
        <v>6073</v>
      </c>
      <c r="B2556" s="2" t="s">
        <v>6074</v>
      </c>
      <c r="C2556" s="2" t="s">
        <v>36</v>
      </c>
      <c r="D2556" s="2" t="s">
        <v>37</v>
      </c>
      <c r="E2556" s="5">
        <v>-30181</v>
      </c>
      <c r="F2556" s="3" t="s">
        <v>3337</v>
      </c>
      <c r="G2556" s="3" t="s">
        <v>6075</v>
      </c>
      <c r="H2556" s="2" t="s">
        <v>27</v>
      </c>
      <c r="I2556" s="2" t="s">
        <v>6076</v>
      </c>
      <c r="J2556" s="3" t="str">
        <f>HYPERLINK("https://www.boe.es/gazeta/dias/1817/05/13/pdfs/GMD-1817-57.pdf#page=5","Abrir facsímil")</f>
        <v>Abrir facsímil</v>
      </c>
      <c r="K2556" s="3" t="s">
        <v>29</v>
      </c>
    </row>
    <row r="2557" spans="1:11" ht="42" customHeight="1">
      <c r="A2557" s="2" t="s">
        <v>6077</v>
      </c>
      <c r="B2557" s="2" t="s">
        <v>6078</v>
      </c>
      <c r="C2557" s="2" t="s">
        <v>43</v>
      </c>
      <c r="D2557" s="2" t="s">
        <v>44</v>
      </c>
      <c r="E2557" s="5">
        <v>-30062</v>
      </c>
      <c r="F2557" s="3" t="s">
        <v>444</v>
      </c>
      <c r="G2557" s="3" t="s">
        <v>20</v>
      </c>
      <c r="H2557" s="2" t="s">
        <v>21</v>
      </c>
      <c r="I2557" s="2" t="s">
        <v>6079</v>
      </c>
      <c r="J2557" s="3" t="str">
        <f>HYPERLINK("https://www.boe.es/gazeta/dias/1817/09/09/pdfs/GMD-1817-108.pdf#page=7","Abrir facsímil")</f>
        <v>Abrir facsímil</v>
      </c>
      <c r="K2557" s="3" t="s">
        <v>23</v>
      </c>
    </row>
    <row r="2558" spans="1:11" ht="42" customHeight="1">
      <c r="A2558" s="2" t="s">
        <v>6080</v>
      </c>
      <c r="B2558" s="2" t="s">
        <v>6081</v>
      </c>
      <c r="C2558" s="2" t="s">
        <v>55</v>
      </c>
      <c r="D2558" s="2" t="s">
        <v>44</v>
      </c>
      <c r="E2558" s="5">
        <v>-30139</v>
      </c>
      <c r="F2558" s="3" t="s">
        <v>993</v>
      </c>
      <c r="G2558" s="3" t="s">
        <v>1053</v>
      </c>
      <c r="H2558" s="2" t="s">
        <v>21</v>
      </c>
      <c r="I2558" s="2" t="s">
        <v>6082</v>
      </c>
      <c r="J2558" s="3" t="str">
        <f>HYPERLINK("https://www.boe.es/gazeta/dias/1817/06/24/pdfs/GMD-1817-75.pdf#page=4","Abrir facsímil")</f>
        <v>Abrir facsímil</v>
      </c>
      <c r="K2558" s="3" t="s">
        <v>23</v>
      </c>
    </row>
    <row r="2559" spans="1:11" ht="42" customHeight="1">
      <c r="A2559" s="2" t="s">
        <v>6083</v>
      </c>
      <c r="B2559" s="2" t="s">
        <v>6084</v>
      </c>
      <c r="C2559" s="2" t="s">
        <v>36</v>
      </c>
      <c r="D2559" s="2" t="s">
        <v>37</v>
      </c>
      <c r="E2559" s="5">
        <v>-30065</v>
      </c>
      <c r="F2559" s="3" t="s">
        <v>201</v>
      </c>
      <c r="G2559" s="3" t="s">
        <v>57</v>
      </c>
      <c r="H2559" s="2" t="s">
        <v>21</v>
      </c>
      <c r="I2559" s="2" t="s">
        <v>6085</v>
      </c>
      <c r="J2559" s="3" t="str">
        <f>HYPERLINK("https://www.boe.es/gazeta/dias/1817/09/06/pdfs/GMD-1817-107.pdf#page=6","Abrir facsímil")</f>
        <v>Abrir facsímil</v>
      </c>
      <c r="K2559" s="3" t="s">
        <v>23</v>
      </c>
    </row>
    <row r="2560" spans="1:11" ht="42" customHeight="1">
      <c r="A2560" s="2" t="s">
        <v>6086</v>
      </c>
      <c r="B2560" s="2" t="s">
        <v>6087</v>
      </c>
      <c r="C2560" s="2" t="s">
        <v>55</v>
      </c>
      <c r="D2560" s="2" t="s">
        <v>44</v>
      </c>
      <c r="E2560" s="5">
        <v>-30293</v>
      </c>
      <c r="F2560" s="3" t="s">
        <v>143</v>
      </c>
      <c r="G2560" s="3" t="s">
        <v>1666</v>
      </c>
      <c r="H2560" s="2" t="s">
        <v>21</v>
      </c>
      <c r="I2560" s="2" t="s">
        <v>6088</v>
      </c>
      <c r="J2560" s="3" t="str">
        <f>HYPERLINK("https://www.boe.es/gazeta/dias/1817/01/21/pdfs/GMD-1817-9.pdf#page=6","Abrir facsímil")</f>
        <v>Abrir facsímil</v>
      </c>
      <c r="K2560" s="3" t="s">
        <v>23</v>
      </c>
    </row>
    <row r="2561" spans="1:11" ht="42" customHeight="1">
      <c r="A2561" s="2" t="s">
        <v>6089</v>
      </c>
      <c r="B2561" s="2" t="s">
        <v>6090</v>
      </c>
      <c r="C2561" s="2" t="s">
        <v>36</v>
      </c>
      <c r="D2561" s="2" t="s">
        <v>37</v>
      </c>
      <c r="E2561" s="5">
        <v>-30240</v>
      </c>
      <c r="F2561" s="3" t="s">
        <v>347</v>
      </c>
      <c r="G2561" s="3" t="s">
        <v>77</v>
      </c>
      <c r="H2561" s="2" t="s">
        <v>21</v>
      </c>
      <c r="I2561" s="2" t="s">
        <v>6091</v>
      </c>
      <c r="J2561" s="3" t="str">
        <f>HYPERLINK("https://www.boe.es/gazeta/dias/1817/03/15/pdfs/GMD-1817-32.pdf#page=8","Abrir facsímil")</f>
        <v>Abrir facsímil</v>
      </c>
      <c r="K2561" s="3" t="s">
        <v>23</v>
      </c>
    </row>
    <row r="2562" spans="1:11" ht="42" customHeight="1">
      <c r="A2562" s="2" t="s">
        <v>6092</v>
      </c>
      <c r="B2562" s="2" t="s">
        <v>6092</v>
      </c>
      <c r="C2562" s="2" t="s">
        <v>36</v>
      </c>
      <c r="D2562" s="2" t="s">
        <v>37</v>
      </c>
      <c r="E2562" s="5">
        <v>-30200</v>
      </c>
      <c r="F2562" s="3" t="s">
        <v>725</v>
      </c>
      <c r="G2562" s="3" t="s">
        <v>72</v>
      </c>
      <c r="H2562" s="2" t="s">
        <v>21</v>
      </c>
      <c r="I2562" s="2" t="s">
        <v>6093</v>
      </c>
      <c r="J2562" s="3" t="str">
        <f>HYPERLINK("https://www.boe.es/gazeta/dias/1817/04/24/pdfs/GMD-1817-49.pdf#page=1","Abrir facsímil")</f>
        <v>Abrir facsímil</v>
      </c>
      <c r="K2562" s="3" t="s">
        <v>23</v>
      </c>
    </row>
    <row r="2563" spans="1:11" ht="42" customHeight="1">
      <c r="A2563" s="2" t="s">
        <v>6094</v>
      </c>
      <c r="B2563" s="2" t="s">
        <v>6095</v>
      </c>
      <c r="C2563" s="2" t="s">
        <v>17</v>
      </c>
      <c r="D2563" s="2" t="s">
        <v>18</v>
      </c>
      <c r="E2563" s="5">
        <v>-30293</v>
      </c>
      <c r="F2563" s="3" t="s">
        <v>143</v>
      </c>
      <c r="G2563" s="3" t="s">
        <v>144</v>
      </c>
      <c r="H2563" s="2" t="s">
        <v>21</v>
      </c>
      <c r="I2563" s="2" t="s">
        <v>6096</v>
      </c>
      <c r="J2563" s="3" t="str">
        <f>HYPERLINK("https://www.boe.es/gazeta/dias/1817/01/21/pdfs/GMD-1817-9.pdf#page=4","Abrir facsímil")</f>
        <v>Abrir facsímil</v>
      </c>
      <c r="K2563" s="3" t="s">
        <v>23</v>
      </c>
    </row>
    <row r="2564" spans="1:11" ht="42" customHeight="1">
      <c r="A2564" s="2" t="s">
        <v>6097</v>
      </c>
      <c r="B2564" s="2" t="s">
        <v>6097</v>
      </c>
      <c r="C2564" s="2" t="s">
        <v>17</v>
      </c>
      <c r="D2564" s="2" t="s">
        <v>18</v>
      </c>
      <c r="E2564" s="5">
        <v>-30272</v>
      </c>
      <c r="F2564" s="3" t="s">
        <v>493</v>
      </c>
      <c r="G2564" s="3" t="s">
        <v>629</v>
      </c>
      <c r="H2564" s="2" t="s">
        <v>21</v>
      </c>
      <c r="I2564" s="2" t="s">
        <v>6098</v>
      </c>
      <c r="J2564" s="3" t="str">
        <f>HYPERLINK("https://www.boe.es/gazeta/dias/1817/02/11/pdfs/GMD-1817-18.pdf#page=2","Abrir facsímil")</f>
        <v>Abrir facsímil</v>
      </c>
      <c r="K2564" s="3" t="s">
        <v>23</v>
      </c>
    </row>
    <row r="2565" spans="1:11" ht="42" customHeight="1">
      <c r="A2565" s="2" t="s">
        <v>6099</v>
      </c>
      <c r="B2565" s="2" t="s">
        <v>6100</v>
      </c>
      <c r="C2565" s="2" t="s">
        <v>55</v>
      </c>
      <c r="D2565" s="2" t="s">
        <v>44</v>
      </c>
      <c r="E2565" s="5">
        <v>-30086</v>
      </c>
      <c r="F2565" s="3" t="s">
        <v>221</v>
      </c>
      <c r="G2565" s="3" t="s">
        <v>39</v>
      </c>
      <c r="H2565" s="2" t="s">
        <v>21</v>
      </c>
      <c r="I2565" s="2" t="s">
        <v>6101</v>
      </c>
      <c r="J2565" s="3" t="str">
        <f>HYPERLINK("https://www.boe.es/gazeta/dias/1817/08/16/pdfs/GMD-1817-98.pdf#page=5","Abrir facsímil")</f>
        <v>Abrir facsímil</v>
      </c>
      <c r="K2565" s="3" t="s">
        <v>23</v>
      </c>
    </row>
    <row r="2566" spans="1:11" ht="42" customHeight="1">
      <c r="A2566" s="2" t="s">
        <v>6102</v>
      </c>
      <c r="B2566" s="2" t="s">
        <v>6103</v>
      </c>
      <c r="C2566" s="2" t="s">
        <v>49</v>
      </c>
      <c r="D2566" s="2" t="s">
        <v>44</v>
      </c>
      <c r="E2566" s="5">
        <v>-30179</v>
      </c>
      <c r="F2566" s="3" t="s">
        <v>391</v>
      </c>
      <c r="G2566" s="3" t="s">
        <v>20</v>
      </c>
      <c r="H2566" s="2" t="s">
        <v>21</v>
      </c>
      <c r="I2566" s="2" t="s">
        <v>6104</v>
      </c>
      <c r="J2566" s="3" t="str">
        <f>HYPERLINK("https://www.boe.es/gazeta/dias/1817/05/15/pdfs/GMD-1817-58.pdf#page=7","Abrir facsímil")</f>
        <v>Abrir facsímil</v>
      </c>
      <c r="K2566" s="3" t="s">
        <v>23</v>
      </c>
    </row>
    <row r="2567" spans="1:11" ht="42" customHeight="1">
      <c r="A2567" s="2" t="s">
        <v>6105</v>
      </c>
      <c r="B2567" s="2" t="s">
        <v>6106</v>
      </c>
      <c r="C2567" s="2" t="s">
        <v>36</v>
      </c>
      <c r="D2567" s="2" t="s">
        <v>37</v>
      </c>
      <c r="E2567" s="5">
        <v>-29962</v>
      </c>
      <c r="F2567" s="3" t="s">
        <v>485</v>
      </c>
      <c r="G2567" s="3" t="s">
        <v>144</v>
      </c>
      <c r="H2567" s="2" t="s">
        <v>21</v>
      </c>
      <c r="I2567" s="2" t="s">
        <v>6107</v>
      </c>
      <c r="J2567" s="3" t="str">
        <f>HYPERLINK("https://www.boe.es/gazeta/dias/1817/12/18/pdfs/GMD-1817-151.pdf#page=4","Abrir facsímil")</f>
        <v>Abrir facsímil</v>
      </c>
      <c r="K2567" s="3" t="s">
        <v>23</v>
      </c>
    </row>
    <row r="2568" spans="1:11" ht="42" customHeight="1">
      <c r="A2568" s="2" t="s">
        <v>6108</v>
      </c>
      <c r="B2568" s="2" t="s">
        <v>6109</v>
      </c>
      <c r="C2568" s="2" t="s">
        <v>97</v>
      </c>
      <c r="D2568" s="2" t="s">
        <v>44</v>
      </c>
      <c r="E2568" s="5">
        <v>-30123</v>
      </c>
      <c r="F2568" s="3" t="s">
        <v>848</v>
      </c>
      <c r="G2568" s="3" t="s">
        <v>3877</v>
      </c>
      <c r="H2568" s="2" t="s">
        <v>21</v>
      </c>
      <c r="I2568" s="2" t="s">
        <v>6110</v>
      </c>
      <c r="J2568" s="3" t="str">
        <f>HYPERLINK("https://www.boe.es/gazeta/dias/1817/07/10/pdfs/GMD-1817-82.pdf#page=8","Abrir facsímil")</f>
        <v>Abrir facsímil</v>
      </c>
      <c r="K2568" s="3" t="s">
        <v>23</v>
      </c>
    </row>
    <row r="2569" spans="1:11" ht="42" customHeight="1">
      <c r="A2569" s="2" t="s">
        <v>6111</v>
      </c>
      <c r="B2569" s="2" t="s">
        <v>6112</v>
      </c>
      <c r="C2569" s="2" t="s">
        <v>36</v>
      </c>
      <c r="D2569" s="2" t="s">
        <v>37</v>
      </c>
      <c r="E2569" s="5">
        <v>-30013</v>
      </c>
      <c r="F2569" s="3" t="s">
        <v>464</v>
      </c>
      <c r="G2569" s="3" t="s">
        <v>57</v>
      </c>
      <c r="H2569" s="2" t="s">
        <v>21</v>
      </c>
      <c r="I2569" s="2" t="s">
        <v>6113</v>
      </c>
      <c r="J2569" s="3" t="str">
        <f>HYPERLINK("https://www.boe.es/gazeta/dias/1817/10/28/pdfs/GMD-1817-129.pdf#page=6","Abrir facsímil")</f>
        <v>Abrir facsímil</v>
      </c>
      <c r="K2569" s="3" t="s">
        <v>23</v>
      </c>
    </row>
    <row r="2570" spans="1:11" ht="42" customHeight="1">
      <c r="A2570" s="2" t="s">
        <v>6114</v>
      </c>
      <c r="B2570" s="2" t="s">
        <v>6115</v>
      </c>
      <c r="C2570" s="2" t="s">
        <v>36</v>
      </c>
      <c r="D2570" s="2" t="s">
        <v>37</v>
      </c>
      <c r="E2570" s="5">
        <v>-30013</v>
      </c>
      <c r="F2570" s="3" t="s">
        <v>464</v>
      </c>
      <c r="G2570" s="3" t="s">
        <v>57</v>
      </c>
      <c r="H2570" s="2" t="s">
        <v>21</v>
      </c>
      <c r="I2570" s="2" t="s">
        <v>6116</v>
      </c>
      <c r="J2570" s="3" t="str">
        <f>HYPERLINK("https://www.boe.es/gazeta/dias/1817/10/28/pdfs/GMD-1817-129.pdf#page=6","Abrir facsímil")</f>
        <v>Abrir facsímil</v>
      </c>
      <c r="K2570" s="3" t="s">
        <v>23</v>
      </c>
    </row>
    <row r="2571" spans="1:11" ht="42" customHeight="1">
      <c r="A2571" s="2" t="s">
        <v>6117</v>
      </c>
      <c r="B2571" s="2" t="s">
        <v>6118</v>
      </c>
      <c r="C2571" s="2" t="s">
        <v>43</v>
      </c>
      <c r="D2571" s="2" t="s">
        <v>44</v>
      </c>
      <c r="E2571" s="5">
        <v>-30018</v>
      </c>
      <c r="F2571" s="3" t="s">
        <v>757</v>
      </c>
      <c r="G2571" s="3" t="s">
        <v>144</v>
      </c>
      <c r="H2571" s="2" t="s">
        <v>21</v>
      </c>
      <c r="I2571" s="2" t="s">
        <v>6119</v>
      </c>
      <c r="J2571" s="3" t="str">
        <f>HYPERLINK("https://www.boe.es/gazeta/dias/1817/10/23/pdfs/GMD-1817-127.pdf#page=4","Abrir facsímil")</f>
        <v>Abrir facsímil</v>
      </c>
      <c r="K2571" s="3" t="s">
        <v>23</v>
      </c>
    </row>
    <row r="2572" spans="1:11" ht="42" customHeight="1">
      <c r="A2572" s="2" t="s">
        <v>6120</v>
      </c>
      <c r="B2572" s="2" t="s">
        <v>6121</v>
      </c>
      <c r="C2572" s="2" t="s">
        <v>17</v>
      </c>
      <c r="D2572" s="2" t="s">
        <v>18</v>
      </c>
      <c r="E2572" s="5">
        <v>-30284</v>
      </c>
      <c r="F2572" s="3" t="s">
        <v>741</v>
      </c>
      <c r="G2572" s="3" t="s">
        <v>4681</v>
      </c>
      <c r="H2572" s="2" t="s">
        <v>21</v>
      </c>
      <c r="I2572" s="2" t="s">
        <v>6122</v>
      </c>
      <c r="J2572" s="3" t="str">
        <f>HYPERLINK("https://www.boe.es/gazeta/dias/1817/01/30/pdfs/GMD-1817-13.pdf#page=5","Abrir facsímil")</f>
        <v>Abrir facsímil</v>
      </c>
      <c r="K2572" s="3" t="s">
        <v>23</v>
      </c>
    </row>
    <row r="2573" spans="1:11" ht="42" customHeight="1">
      <c r="A2573" s="2" t="s">
        <v>6123</v>
      </c>
      <c r="B2573" s="2" t="s">
        <v>6124</v>
      </c>
      <c r="C2573" s="2" t="s">
        <v>36</v>
      </c>
      <c r="D2573" s="2" t="s">
        <v>37</v>
      </c>
      <c r="E2573" s="5">
        <v>-30170</v>
      </c>
      <c r="F2573" s="3" t="s">
        <v>98</v>
      </c>
      <c r="G2573" s="3" t="s">
        <v>20</v>
      </c>
      <c r="H2573" s="2" t="s">
        <v>21</v>
      </c>
      <c r="I2573" s="2" t="s">
        <v>6125</v>
      </c>
      <c r="J2573" s="3" t="str">
        <f>HYPERLINK("https://www.boe.es/gazeta/dias/1817/05/24/pdfs/GMD-1817-62.pdf#page=7","Abrir facsímil")</f>
        <v>Abrir facsímil</v>
      </c>
      <c r="K2573" s="3" t="s">
        <v>23</v>
      </c>
    </row>
    <row r="2574" spans="1:11" ht="42" customHeight="1">
      <c r="A2574" s="2" t="s">
        <v>6126</v>
      </c>
      <c r="B2574" s="2" t="s">
        <v>6127</v>
      </c>
      <c r="C2574" s="2" t="s">
        <v>36</v>
      </c>
      <c r="D2574" s="2" t="s">
        <v>37</v>
      </c>
      <c r="E2574" s="5">
        <v>-29964</v>
      </c>
      <c r="F2574" s="3" t="s">
        <v>482</v>
      </c>
      <c r="G2574" s="3" t="s">
        <v>20</v>
      </c>
      <c r="H2574" s="2" t="s">
        <v>21</v>
      </c>
      <c r="I2574" s="2" t="s">
        <v>6128</v>
      </c>
      <c r="J2574" s="3" t="str">
        <f>HYPERLINK("https://www.boe.es/gazeta/dias/1817/12/16/pdfs/GMD-1817-150.pdf#page=7","Abrir facsímil")</f>
        <v>Abrir facsímil</v>
      </c>
      <c r="K2574" s="3" t="s">
        <v>23</v>
      </c>
    </row>
    <row r="2575" spans="1:11" ht="42" customHeight="1">
      <c r="A2575" s="2" t="s">
        <v>6129</v>
      </c>
      <c r="B2575" s="2" t="s">
        <v>6130</v>
      </c>
      <c r="C2575" s="2" t="s">
        <v>55</v>
      </c>
      <c r="D2575" s="2" t="s">
        <v>44</v>
      </c>
      <c r="E2575" s="5">
        <v>-30018</v>
      </c>
      <c r="F2575" s="3" t="s">
        <v>757</v>
      </c>
      <c r="G2575" s="3" t="s">
        <v>77</v>
      </c>
      <c r="H2575" s="2" t="s">
        <v>21</v>
      </c>
      <c r="I2575" s="2" t="s">
        <v>6131</v>
      </c>
      <c r="J2575" s="3" t="str">
        <f>HYPERLINK("https://www.boe.es/gazeta/dias/1817/10/23/pdfs/GMD-1817-127.pdf#page=8","Abrir facsímil")</f>
        <v>Abrir facsímil</v>
      </c>
      <c r="K2575" s="3" t="s">
        <v>23</v>
      </c>
    </row>
    <row r="2576" spans="1:11" ht="42" customHeight="1">
      <c r="A2576" s="2" t="s">
        <v>6132</v>
      </c>
      <c r="B2576" s="2" t="s">
        <v>6133</v>
      </c>
      <c r="C2576" s="2" t="s">
        <v>55</v>
      </c>
      <c r="D2576" s="2" t="s">
        <v>44</v>
      </c>
      <c r="E2576" s="5">
        <v>-30023</v>
      </c>
      <c r="F2576" s="3" t="s">
        <v>460</v>
      </c>
      <c r="G2576" s="3" t="s">
        <v>461</v>
      </c>
      <c r="H2576" s="2" t="s">
        <v>21</v>
      </c>
      <c r="I2576" s="2" t="s">
        <v>6134</v>
      </c>
      <c r="J2576" s="3" t="str">
        <f>HYPERLINK("https://www.boe.es/gazeta/dias/1817/10/18/pdfs/GMD-1817-125.pdf#page=8","Abrir facsímil")</f>
        <v>Abrir facsímil</v>
      </c>
      <c r="K2576" s="3" t="s">
        <v>23</v>
      </c>
    </row>
    <row r="2577" spans="1:11" ht="42" customHeight="1">
      <c r="A2577" s="2" t="s">
        <v>6135</v>
      </c>
      <c r="B2577" s="2" t="s">
        <v>6136</v>
      </c>
      <c r="C2577" s="2" t="s">
        <v>36</v>
      </c>
      <c r="D2577" s="2" t="s">
        <v>37</v>
      </c>
      <c r="E2577" s="5">
        <v>-30065</v>
      </c>
      <c r="F2577" s="3" t="s">
        <v>201</v>
      </c>
      <c r="G2577" s="3" t="s">
        <v>20</v>
      </c>
      <c r="H2577" s="2" t="s">
        <v>21</v>
      </c>
      <c r="I2577" s="2" t="s">
        <v>6137</v>
      </c>
      <c r="J2577" s="3" t="str">
        <f>HYPERLINK("https://www.boe.es/gazeta/dias/1817/09/06/pdfs/GMD-1817-107.pdf#page=7","Abrir facsímil")</f>
        <v>Abrir facsímil</v>
      </c>
      <c r="K2577" s="3" t="s">
        <v>23</v>
      </c>
    </row>
    <row r="2578" spans="1:11" ht="42" customHeight="1">
      <c r="A2578" s="2" t="s">
        <v>6138</v>
      </c>
      <c r="B2578" s="2" t="s">
        <v>6139</v>
      </c>
      <c r="C2578" s="2" t="s">
        <v>55</v>
      </c>
      <c r="D2578" s="2" t="s">
        <v>44</v>
      </c>
      <c r="E2578" s="5">
        <v>-29964</v>
      </c>
      <c r="F2578" s="3" t="s">
        <v>482</v>
      </c>
      <c r="G2578" s="3" t="s">
        <v>483</v>
      </c>
      <c r="H2578" s="2" t="s">
        <v>21</v>
      </c>
      <c r="I2578" s="2" t="s">
        <v>6140</v>
      </c>
      <c r="J2578" s="3" t="str">
        <f>HYPERLINK("https://www.boe.es/gazeta/dias/1817/12/16/pdfs/GMD-1817-150.pdf#page=12","Abrir facsímil")</f>
        <v>Abrir facsímil</v>
      </c>
      <c r="K2578" s="3" t="s">
        <v>23</v>
      </c>
    </row>
    <row r="2579" spans="1:11" ht="42" customHeight="1">
      <c r="A2579" s="2" t="s">
        <v>6141</v>
      </c>
      <c r="B2579" s="2" t="s">
        <v>6142</v>
      </c>
      <c r="C2579" s="2" t="s">
        <v>43</v>
      </c>
      <c r="D2579" s="2" t="s">
        <v>44</v>
      </c>
      <c r="E2579" s="5">
        <v>-30123</v>
      </c>
      <c r="F2579" s="3" t="s">
        <v>848</v>
      </c>
      <c r="G2579" s="3" t="s">
        <v>3877</v>
      </c>
      <c r="H2579" s="2" t="s">
        <v>21</v>
      </c>
      <c r="I2579" s="2" t="s">
        <v>6143</v>
      </c>
      <c r="J2579" s="3" t="str">
        <f>HYPERLINK("https://www.boe.es/gazeta/dias/1817/07/10/pdfs/GMD-1817-82.pdf#page=8","Abrir facsímil")</f>
        <v>Abrir facsímil</v>
      </c>
      <c r="K2579" s="3" t="s">
        <v>23</v>
      </c>
    </row>
    <row r="2580" spans="1:11" ht="42" customHeight="1">
      <c r="A2580" s="2" t="s">
        <v>6144</v>
      </c>
      <c r="B2580" s="2" t="s">
        <v>6145</v>
      </c>
      <c r="C2580" s="2" t="s">
        <v>43</v>
      </c>
      <c r="D2580" s="2" t="s">
        <v>44</v>
      </c>
      <c r="E2580" s="5">
        <v>-30282</v>
      </c>
      <c r="F2580" s="3" t="s">
        <v>1049</v>
      </c>
      <c r="G2580" s="3" t="s">
        <v>144</v>
      </c>
      <c r="H2580" s="2" t="s">
        <v>21</v>
      </c>
      <c r="I2580" s="2" t="s">
        <v>6146</v>
      </c>
      <c r="J2580" s="3" t="str">
        <f>HYPERLINK("https://www.boe.es/gazeta/dias/1817/02/01/pdfs/GMD-1817-14.pdf#page=4","Abrir facsímil")</f>
        <v>Abrir facsímil</v>
      </c>
      <c r="K2580" s="3" t="s">
        <v>23</v>
      </c>
    </row>
    <row r="2581" spans="1:11" ht="42" customHeight="1">
      <c r="A2581" s="2" t="s">
        <v>6147</v>
      </c>
      <c r="B2581" s="2" t="s">
        <v>6148</v>
      </c>
      <c r="C2581" s="2" t="s">
        <v>36</v>
      </c>
      <c r="D2581" s="2" t="s">
        <v>37</v>
      </c>
      <c r="E2581" s="5">
        <v>-29974</v>
      </c>
      <c r="F2581" s="3" t="s">
        <v>32</v>
      </c>
      <c r="G2581" s="3" t="s">
        <v>20</v>
      </c>
      <c r="H2581" s="2" t="s">
        <v>21</v>
      </c>
      <c r="I2581" s="2" t="s">
        <v>6149</v>
      </c>
      <c r="J2581" s="3" t="str">
        <f>HYPERLINK("https://www.boe.es/gazeta/dias/1817/12/06/pdfs/GMD-1817-146.pdf#page=7","Abrir facsímil")</f>
        <v>Abrir facsímil</v>
      </c>
      <c r="K2581" s="3" t="s">
        <v>23</v>
      </c>
    </row>
    <row r="2582" spans="1:11" ht="42" customHeight="1">
      <c r="A2582" s="2" t="s">
        <v>6150</v>
      </c>
      <c r="B2582" s="2" t="s">
        <v>6151</v>
      </c>
      <c r="C2582" s="2" t="s">
        <v>36</v>
      </c>
      <c r="D2582" s="2" t="s">
        <v>37</v>
      </c>
      <c r="E2582" s="5">
        <v>-30149</v>
      </c>
      <c r="F2582" s="3" t="s">
        <v>430</v>
      </c>
      <c r="G2582" s="3" t="s">
        <v>144</v>
      </c>
      <c r="H2582" s="2" t="s">
        <v>21</v>
      </c>
      <c r="I2582" s="2" t="s">
        <v>6152</v>
      </c>
      <c r="J2582" s="3" t="str">
        <f>HYPERLINK("https://www.boe.es/gazeta/dias/1817/06/14/pdfs/GMD-1817-71.pdf#page=4","Abrir facsímil")</f>
        <v>Abrir facsímil</v>
      </c>
      <c r="K2582" s="3" t="s">
        <v>23</v>
      </c>
    </row>
    <row r="2583" spans="1:11" ht="42" customHeight="1">
      <c r="A2583" s="2" t="s">
        <v>6153</v>
      </c>
      <c r="B2583" s="2" t="s">
        <v>6154</v>
      </c>
      <c r="C2583" s="2" t="s">
        <v>36</v>
      </c>
      <c r="D2583" s="2" t="s">
        <v>37</v>
      </c>
      <c r="E2583" s="5">
        <v>-30300</v>
      </c>
      <c r="F2583" s="3" t="s">
        <v>164</v>
      </c>
      <c r="G2583" s="3" t="s">
        <v>6155</v>
      </c>
      <c r="H2583" s="2" t="s">
        <v>21</v>
      </c>
      <c r="I2583" s="2" t="s">
        <v>6156</v>
      </c>
      <c r="J2583" s="3" t="str">
        <f>HYPERLINK("https://www.boe.es/gazeta/dias/1817/01/14/pdfs/GMD-1817-6.pdf#page=4","Abrir facsímil")</f>
        <v>Abrir facsímil</v>
      </c>
      <c r="K2583" s="3" t="s">
        <v>23</v>
      </c>
    </row>
    <row r="2584" spans="1:11" ht="42" customHeight="1">
      <c r="A2584" s="2" t="s">
        <v>6153</v>
      </c>
      <c r="B2584" s="2" t="s">
        <v>6154</v>
      </c>
      <c r="C2584" s="2" t="s">
        <v>36</v>
      </c>
      <c r="D2584" s="2" t="s">
        <v>37</v>
      </c>
      <c r="E2584" s="5">
        <v>-30300</v>
      </c>
      <c r="F2584" s="3" t="s">
        <v>164</v>
      </c>
      <c r="G2584" s="3" t="s">
        <v>20</v>
      </c>
      <c r="H2584" s="2" t="s">
        <v>21</v>
      </c>
      <c r="I2584" s="2" t="s">
        <v>6157</v>
      </c>
      <c r="J2584" s="3" t="str">
        <f>HYPERLINK("https://www.boe.es/gazeta/dias/1817/01/14/pdfs/GMD-1817-6.pdf#page=7","Abrir facsímil")</f>
        <v>Abrir facsímil</v>
      </c>
      <c r="K2584" s="3" t="s">
        <v>23</v>
      </c>
    </row>
    <row r="2585" spans="1:11" ht="42" customHeight="1">
      <c r="A2585" s="2" t="s">
        <v>6158</v>
      </c>
      <c r="B2585" s="2" t="s">
        <v>6159</v>
      </c>
      <c r="C2585" s="2" t="s">
        <v>43</v>
      </c>
      <c r="D2585" s="2" t="s">
        <v>44</v>
      </c>
      <c r="E2585" s="5">
        <v>-30023</v>
      </c>
      <c r="F2585" s="3" t="s">
        <v>460</v>
      </c>
      <c r="G2585" s="3" t="s">
        <v>144</v>
      </c>
      <c r="H2585" s="2" t="s">
        <v>27</v>
      </c>
      <c r="I2585" s="2" t="s">
        <v>6160</v>
      </c>
      <c r="J2585" s="3" t="str">
        <f>HYPERLINK("https://www.boe.es/gazeta/dias/1817/10/18/pdfs/GMD-1817-125.pdf#page=4","Abrir facsímil")</f>
        <v>Abrir facsímil</v>
      </c>
      <c r="K2585" s="3" t="s">
        <v>29</v>
      </c>
    </row>
    <row r="2586" spans="1:11" ht="42" customHeight="1">
      <c r="A2586" s="2" t="s">
        <v>6161</v>
      </c>
      <c r="B2586" s="2" t="s">
        <v>6162</v>
      </c>
      <c r="C2586" s="2" t="s">
        <v>55</v>
      </c>
      <c r="D2586" s="2" t="s">
        <v>44</v>
      </c>
      <c r="E2586" s="5">
        <v>-30065</v>
      </c>
      <c r="F2586" s="3" t="s">
        <v>201</v>
      </c>
      <c r="G2586" s="3" t="s">
        <v>57</v>
      </c>
      <c r="H2586" s="2" t="s">
        <v>21</v>
      </c>
      <c r="I2586" s="2" t="s">
        <v>6163</v>
      </c>
      <c r="J2586" s="3" t="str">
        <f>HYPERLINK("https://www.boe.es/gazeta/dias/1817/09/06/pdfs/GMD-1817-107.pdf#page=6","Abrir facsímil")</f>
        <v>Abrir facsímil</v>
      </c>
      <c r="K2586" s="3" t="s">
        <v>23</v>
      </c>
    </row>
    <row r="2587" spans="1:11" ht="42" customHeight="1">
      <c r="A2587" s="2" t="s">
        <v>6164</v>
      </c>
      <c r="B2587" s="2" t="s">
        <v>6165</v>
      </c>
      <c r="C2587" s="2" t="s">
        <v>43</v>
      </c>
      <c r="D2587" s="2" t="s">
        <v>44</v>
      </c>
      <c r="E2587" s="5">
        <v>-30188</v>
      </c>
      <c r="F2587" s="3" t="s">
        <v>177</v>
      </c>
      <c r="G2587" s="3" t="s">
        <v>144</v>
      </c>
      <c r="H2587" s="2" t="s">
        <v>21</v>
      </c>
      <c r="I2587" s="2" t="s">
        <v>6166</v>
      </c>
      <c r="J2587" s="3" t="str">
        <f>HYPERLINK("https://www.boe.es/gazeta/dias/1817/05/06/pdfs/GMD-1817-54.pdf#page=4","Abrir facsímil")</f>
        <v>Abrir facsímil</v>
      </c>
      <c r="K2587" s="3" t="s">
        <v>23</v>
      </c>
    </row>
    <row r="2588" spans="1:11" ht="42" customHeight="1">
      <c r="A2588" s="2" t="s">
        <v>6167</v>
      </c>
      <c r="B2588" s="2" t="s">
        <v>6168</v>
      </c>
      <c r="C2588" s="2" t="s">
        <v>17</v>
      </c>
      <c r="D2588" s="2" t="s">
        <v>18</v>
      </c>
      <c r="E2588" s="5">
        <v>-30261</v>
      </c>
      <c r="F2588" s="3" t="s">
        <v>226</v>
      </c>
      <c r="G2588" s="3" t="s">
        <v>39</v>
      </c>
      <c r="H2588" s="2" t="s">
        <v>21</v>
      </c>
      <c r="I2588" s="2" t="s">
        <v>6169</v>
      </c>
      <c r="J2588" s="3" t="str">
        <f>HYPERLINK("https://www.boe.es/gazeta/dias/1817/02/22/pdfs/GMD-1817-23.pdf#page=5","Abrir facsímil")</f>
        <v>Abrir facsímil</v>
      </c>
      <c r="K2588" s="3" t="s">
        <v>23</v>
      </c>
    </row>
    <row r="2589" spans="1:11" ht="42" customHeight="1">
      <c r="A2589" s="2" t="s">
        <v>6170</v>
      </c>
      <c r="B2589" s="2" t="s">
        <v>6171</v>
      </c>
      <c r="C2589" s="2" t="s">
        <v>36</v>
      </c>
      <c r="D2589" s="2" t="s">
        <v>37</v>
      </c>
      <c r="E2589" s="5">
        <v>-30261</v>
      </c>
      <c r="F2589" s="3" t="s">
        <v>226</v>
      </c>
      <c r="G2589" s="3" t="s">
        <v>20</v>
      </c>
      <c r="H2589" s="2" t="s">
        <v>21</v>
      </c>
      <c r="I2589" s="2" t="s">
        <v>6172</v>
      </c>
      <c r="J2589" s="3" t="str">
        <f>HYPERLINK("https://www.boe.es/gazeta/dias/1817/02/22/pdfs/GMD-1817-23.pdf#page=7","Abrir facsímil")</f>
        <v>Abrir facsímil</v>
      </c>
      <c r="K2589" s="3" t="s">
        <v>23</v>
      </c>
    </row>
    <row r="2590" spans="1:11" ht="42" customHeight="1">
      <c r="A2590" s="2" t="s">
        <v>6173</v>
      </c>
      <c r="B2590" s="2" t="s">
        <v>6174</v>
      </c>
      <c r="C2590" s="2" t="s">
        <v>138</v>
      </c>
      <c r="D2590" s="2" t="s">
        <v>44</v>
      </c>
      <c r="E2590" s="5">
        <v>-30181</v>
      </c>
      <c r="F2590" s="3" t="s">
        <v>3337</v>
      </c>
      <c r="G2590" s="3" t="s">
        <v>4311</v>
      </c>
      <c r="H2590" s="2" t="s">
        <v>27</v>
      </c>
      <c r="I2590" s="2" t="s">
        <v>6175</v>
      </c>
      <c r="J2590" s="3" t="str">
        <f>HYPERLINK("https://www.boe.es/gazeta/dias/1817/05/13/pdfs/GMD-1817-57.pdf#page=8","Abrir facsímil")</f>
        <v>Abrir facsímil</v>
      </c>
      <c r="K2590" s="3" t="s">
        <v>29</v>
      </c>
    </row>
    <row r="2591" spans="1:11" ht="42" customHeight="1">
      <c r="A2591" s="2" t="s">
        <v>6176</v>
      </c>
      <c r="B2591" s="2" t="s">
        <v>6177</v>
      </c>
      <c r="C2591" s="2" t="s">
        <v>43</v>
      </c>
      <c r="D2591" s="2" t="s">
        <v>44</v>
      </c>
      <c r="E2591" s="5">
        <v>-30261</v>
      </c>
      <c r="F2591" s="3" t="s">
        <v>226</v>
      </c>
      <c r="G2591" s="3" t="s">
        <v>20</v>
      </c>
      <c r="H2591" s="2" t="s">
        <v>21</v>
      </c>
      <c r="I2591" s="2" t="s">
        <v>6178</v>
      </c>
      <c r="J2591" s="3" t="str">
        <f>HYPERLINK("https://www.boe.es/gazeta/dias/1817/02/22/pdfs/GMD-1817-23.pdf#page=7","Abrir facsímil")</f>
        <v>Abrir facsímil</v>
      </c>
      <c r="K2591" s="3" t="s">
        <v>23</v>
      </c>
    </row>
    <row r="2592" spans="1:11" ht="42" customHeight="1">
      <c r="A2592" s="2" t="s">
        <v>6179</v>
      </c>
      <c r="B2592" s="2" t="s">
        <v>6180</v>
      </c>
      <c r="C2592" s="2" t="s">
        <v>36</v>
      </c>
      <c r="D2592" s="2" t="s">
        <v>37</v>
      </c>
      <c r="E2592" s="5">
        <v>-30027</v>
      </c>
      <c r="F2592" s="3" t="s">
        <v>173</v>
      </c>
      <c r="G2592" s="3" t="s">
        <v>20</v>
      </c>
      <c r="H2592" s="2" t="s">
        <v>21</v>
      </c>
      <c r="I2592" s="2" t="s">
        <v>6181</v>
      </c>
      <c r="J2592" s="3" t="str">
        <f>HYPERLINK("https://www.boe.es/gazeta/dias/1817/10/14/pdfs/GMD-1817-123.pdf#page=7","Abrir facsímil")</f>
        <v>Abrir facsímil</v>
      </c>
      <c r="K2592" s="3" t="s">
        <v>23</v>
      </c>
    </row>
    <row r="2593" spans="1:11" ht="42" customHeight="1">
      <c r="A2593" s="2" t="s">
        <v>6182</v>
      </c>
      <c r="B2593" s="2" t="s">
        <v>6183</v>
      </c>
      <c r="C2593" s="2" t="s">
        <v>36</v>
      </c>
      <c r="D2593" s="2" t="s">
        <v>37</v>
      </c>
      <c r="E2593" s="5">
        <v>-30307</v>
      </c>
      <c r="F2593" s="3" t="s">
        <v>67</v>
      </c>
      <c r="G2593" s="3" t="s">
        <v>68</v>
      </c>
      <c r="H2593" s="2" t="s">
        <v>21</v>
      </c>
      <c r="I2593" s="2" t="s">
        <v>6184</v>
      </c>
      <c r="J2593" s="3" t="str">
        <f>HYPERLINK("https://www.boe.es/gazeta/dias/1817/01/07/pdfs/GMD-1817-3.pdf#page=8","Abrir facsímil")</f>
        <v>Abrir facsímil</v>
      </c>
      <c r="K2593" s="3" t="s">
        <v>23</v>
      </c>
    </row>
    <row r="2594" spans="1:11" ht="42" customHeight="1">
      <c r="A2594" s="2" t="s">
        <v>6185</v>
      </c>
      <c r="B2594" s="2" t="s">
        <v>6186</v>
      </c>
      <c r="C2594" s="2" t="s">
        <v>138</v>
      </c>
      <c r="D2594" s="2" t="s">
        <v>44</v>
      </c>
      <c r="E2594" s="5">
        <v>-30284</v>
      </c>
      <c r="F2594" s="3" t="s">
        <v>741</v>
      </c>
      <c r="G2594" s="3" t="s">
        <v>20</v>
      </c>
      <c r="H2594" s="2" t="s">
        <v>21</v>
      </c>
      <c r="I2594" s="2" t="s">
        <v>6187</v>
      </c>
      <c r="J2594" s="3" t="str">
        <f>HYPERLINK("https://www.boe.es/gazeta/dias/1817/01/30/pdfs/GMD-1817-13.pdf#page=7","Abrir facsímil")</f>
        <v>Abrir facsímil</v>
      </c>
      <c r="K2594" s="3" t="s">
        <v>23</v>
      </c>
    </row>
    <row r="2595" spans="1:11" ht="42" customHeight="1">
      <c r="A2595" s="2" t="s">
        <v>6188</v>
      </c>
      <c r="B2595" s="2" t="s">
        <v>6189</v>
      </c>
      <c r="C2595" s="2" t="s">
        <v>36</v>
      </c>
      <c r="D2595" s="2" t="s">
        <v>37</v>
      </c>
      <c r="E2595" s="5">
        <v>-29953</v>
      </c>
      <c r="F2595" s="3" t="s">
        <v>793</v>
      </c>
      <c r="G2595" s="3" t="s">
        <v>794</v>
      </c>
      <c r="H2595" s="2" t="s">
        <v>21</v>
      </c>
      <c r="I2595" s="2" t="s">
        <v>6190</v>
      </c>
      <c r="J2595" s="3" t="str">
        <f>HYPERLINK("https://www.boe.es/gazeta/dias/1817/12/27/pdfs/GMD-1817-155.pdf#page=8","Abrir facsímil")</f>
        <v>Abrir facsímil</v>
      </c>
      <c r="K2595" s="3" t="s">
        <v>23</v>
      </c>
    </row>
    <row r="2596" spans="1:11" ht="42" customHeight="1">
      <c r="A2596" s="2" t="s">
        <v>6191</v>
      </c>
      <c r="B2596" s="2" t="s">
        <v>6192</v>
      </c>
      <c r="C2596" s="2" t="s">
        <v>17</v>
      </c>
      <c r="D2596" s="2" t="s">
        <v>18</v>
      </c>
      <c r="E2596" s="5">
        <v>-30219</v>
      </c>
      <c r="F2596" s="3" t="s">
        <v>1346</v>
      </c>
      <c r="G2596" s="3" t="s">
        <v>5663</v>
      </c>
      <c r="H2596" s="2" t="s">
        <v>21</v>
      </c>
      <c r="I2596" s="2" t="s">
        <v>6193</v>
      </c>
      <c r="J2596" s="3" t="str">
        <f>HYPERLINK("https://www.boe.es/gazeta/dias/1817/04/05/pdfs/GMD-1817-41.pdf#page=2","Abrir facsímil")</f>
        <v>Abrir facsímil</v>
      </c>
      <c r="K2596" s="3" t="s">
        <v>23</v>
      </c>
    </row>
    <row r="2597" spans="1:11" ht="42" customHeight="1">
      <c r="A2597" s="2" t="s">
        <v>6191</v>
      </c>
      <c r="B2597" s="2" t="s">
        <v>6192</v>
      </c>
      <c r="C2597" s="2" t="s">
        <v>36</v>
      </c>
      <c r="D2597" s="2" t="s">
        <v>37</v>
      </c>
      <c r="E2597" s="5">
        <v>-30027</v>
      </c>
      <c r="F2597" s="3" t="s">
        <v>173</v>
      </c>
      <c r="G2597" s="3" t="s">
        <v>629</v>
      </c>
      <c r="H2597" s="2" t="s">
        <v>21</v>
      </c>
      <c r="I2597" s="2" t="s">
        <v>6194</v>
      </c>
      <c r="J2597" s="3" t="str">
        <f>HYPERLINK("https://www.boe.es/gazeta/dias/1817/10/14/pdfs/GMD-1817-123.pdf#page=2","Abrir facsímil")</f>
        <v>Abrir facsímil</v>
      </c>
      <c r="K2597" s="3" t="s">
        <v>23</v>
      </c>
    </row>
    <row r="2598" spans="1:11" ht="42" customHeight="1">
      <c r="A2598" s="2" t="s">
        <v>6195</v>
      </c>
      <c r="B2598" s="2" t="s">
        <v>6195</v>
      </c>
      <c r="C2598" s="2" t="s">
        <v>36</v>
      </c>
      <c r="D2598" s="2" t="s">
        <v>37</v>
      </c>
      <c r="E2598" s="5">
        <v>-30132</v>
      </c>
      <c r="F2598" s="3" t="s">
        <v>718</v>
      </c>
      <c r="G2598" s="3" t="s">
        <v>77</v>
      </c>
      <c r="H2598" s="2" t="s">
        <v>21</v>
      </c>
      <c r="I2598" s="2" t="s">
        <v>6196</v>
      </c>
      <c r="J2598" s="3" t="str">
        <f>HYPERLINK("https://www.boe.es/gazeta/dias/1817/07/01/pdfs/GMD-1817-78.pdf#page=8","Abrir facsímil")</f>
        <v>Abrir facsímil</v>
      </c>
      <c r="K2598" s="3" t="s">
        <v>23</v>
      </c>
    </row>
    <row r="2599" spans="1:11" ht="42" customHeight="1">
      <c r="A2599" s="2" t="s">
        <v>6197</v>
      </c>
      <c r="B2599" s="2" t="s">
        <v>6197</v>
      </c>
      <c r="C2599" s="2" t="s">
        <v>43</v>
      </c>
      <c r="D2599" s="2" t="s">
        <v>44</v>
      </c>
      <c r="E2599" s="5">
        <v>-30275</v>
      </c>
      <c r="F2599" s="3" t="s">
        <v>1025</v>
      </c>
      <c r="G2599" s="3" t="s">
        <v>1026</v>
      </c>
      <c r="H2599" s="2" t="s">
        <v>21</v>
      </c>
      <c r="I2599" s="2" t="s">
        <v>6198</v>
      </c>
      <c r="J2599" s="3" t="str">
        <f>HYPERLINK("https://www.boe.es/gazeta/dias/1817/02/08/pdfs/GMD-1817-17.pdf#page=7","Abrir facsímil")</f>
        <v>Abrir facsímil</v>
      </c>
      <c r="K2599" s="3" t="s">
        <v>23</v>
      </c>
    </row>
    <row r="2600" spans="1:11" ht="42" customHeight="1">
      <c r="A2600" s="2" t="s">
        <v>6199</v>
      </c>
      <c r="B2600" s="2" t="s">
        <v>6200</v>
      </c>
      <c r="C2600" s="2" t="s">
        <v>36</v>
      </c>
      <c r="D2600" s="2" t="s">
        <v>37</v>
      </c>
      <c r="E2600" s="5">
        <v>-30265</v>
      </c>
      <c r="F2600" s="3" t="s">
        <v>107</v>
      </c>
      <c r="G2600" s="3" t="s">
        <v>77</v>
      </c>
      <c r="H2600" s="2" t="s">
        <v>21</v>
      </c>
      <c r="I2600" s="2" t="s">
        <v>6201</v>
      </c>
      <c r="J2600" s="3" t="str">
        <f>HYPERLINK("https://www.boe.es/gazeta/dias/1817/02/18/pdfs/GMD-1817-21.pdf#page=8","Abrir facsímil")</f>
        <v>Abrir facsímil</v>
      </c>
      <c r="K2600" s="3" t="s">
        <v>23</v>
      </c>
    </row>
    <row r="2601" spans="1:11" ht="42" customHeight="1">
      <c r="A2601" s="2" t="s">
        <v>6202</v>
      </c>
      <c r="B2601" s="2" t="s">
        <v>6203</v>
      </c>
      <c r="C2601" s="2" t="s">
        <v>55</v>
      </c>
      <c r="D2601" s="2" t="s">
        <v>44</v>
      </c>
      <c r="E2601" s="5">
        <v>-30030</v>
      </c>
      <c r="F2601" s="3" t="s">
        <v>508</v>
      </c>
      <c r="G2601" s="3" t="s">
        <v>82</v>
      </c>
      <c r="H2601" s="2" t="s">
        <v>21</v>
      </c>
      <c r="I2601" s="2" t="s">
        <v>6204</v>
      </c>
      <c r="J2601" s="3" t="str">
        <f>HYPERLINK("https://www.boe.es/gazeta/dias/1817/10/11/pdfs/GMD-1817-122.pdf#page=12","Abrir facsímil")</f>
        <v>Abrir facsímil</v>
      </c>
      <c r="K2601" s="3" t="s">
        <v>23</v>
      </c>
    </row>
    <row r="2602" spans="1:11" ht="42" customHeight="1">
      <c r="A2602" s="2" t="s">
        <v>6205</v>
      </c>
      <c r="B2602" s="2" t="s">
        <v>6206</v>
      </c>
      <c r="C2602" s="2" t="s">
        <v>17</v>
      </c>
      <c r="D2602" s="2" t="s">
        <v>18</v>
      </c>
      <c r="E2602" s="5">
        <v>-30261</v>
      </c>
      <c r="F2602" s="3" t="s">
        <v>226</v>
      </c>
      <c r="G2602" s="3" t="s">
        <v>39</v>
      </c>
      <c r="H2602" s="2" t="s">
        <v>21</v>
      </c>
      <c r="I2602" s="2" t="s">
        <v>6207</v>
      </c>
      <c r="J2602" s="3" t="str">
        <f>HYPERLINK("https://www.boe.es/gazeta/dias/1817/02/22/pdfs/GMD-1817-23.pdf#page=5","Abrir facsímil")</f>
        <v>Abrir facsímil</v>
      </c>
      <c r="K2602" s="3" t="s">
        <v>23</v>
      </c>
    </row>
    <row r="2603" spans="1:11" ht="42" customHeight="1">
      <c r="A2603" s="2" t="s">
        <v>6208</v>
      </c>
      <c r="B2603" s="2" t="s">
        <v>6208</v>
      </c>
      <c r="C2603" s="2" t="s">
        <v>510</v>
      </c>
      <c r="D2603" s="2" t="s">
        <v>44</v>
      </c>
      <c r="E2603" s="5">
        <v>-30235</v>
      </c>
      <c r="F2603" s="3" t="s">
        <v>398</v>
      </c>
      <c r="G2603" s="3" t="s">
        <v>72</v>
      </c>
      <c r="H2603" s="2" t="s">
        <v>21</v>
      </c>
      <c r="I2603" s="2" t="s">
        <v>6209</v>
      </c>
      <c r="J2603" s="3" t="str">
        <f>HYPERLINK("https://www.boe.es/gazeta/dias/1817/03/20/pdfs/GMD-1817-34.pdf#page=1","Abrir facsímil")</f>
        <v>Abrir facsímil</v>
      </c>
      <c r="K2603" s="3" t="s">
        <v>23</v>
      </c>
    </row>
    <row r="2604" spans="1:11" ht="42" customHeight="1">
      <c r="A2604" s="2" t="s">
        <v>6208</v>
      </c>
      <c r="B2604" s="2" t="s">
        <v>6208</v>
      </c>
      <c r="C2604" s="2" t="s">
        <v>36</v>
      </c>
      <c r="D2604" s="2" t="s">
        <v>37</v>
      </c>
      <c r="E2604" s="5">
        <v>-30221</v>
      </c>
      <c r="F2604" s="3" t="s">
        <v>256</v>
      </c>
      <c r="G2604" s="3" t="s">
        <v>72</v>
      </c>
      <c r="H2604" s="2" t="s">
        <v>21</v>
      </c>
      <c r="I2604" s="2" t="s">
        <v>6210</v>
      </c>
      <c r="J2604" s="3" t="str">
        <f>HYPERLINK("https://www.boe.es/gazeta/dias/1817/04/03/pdfs/GMD-1817-40.pdf#page=1","Abrir facsímil")</f>
        <v>Abrir facsímil</v>
      </c>
      <c r="K2604" s="3" t="s">
        <v>23</v>
      </c>
    </row>
    <row r="2605" spans="1:11" ht="42" customHeight="1">
      <c r="A2605" s="2" t="s">
        <v>6208</v>
      </c>
      <c r="B2605" s="2" t="s">
        <v>6208</v>
      </c>
      <c r="C2605" s="2" t="s">
        <v>36</v>
      </c>
      <c r="D2605" s="2" t="s">
        <v>37</v>
      </c>
      <c r="E2605" s="5">
        <v>-30109</v>
      </c>
      <c r="F2605" s="3" t="s">
        <v>205</v>
      </c>
      <c r="G2605" s="3" t="s">
        <v>2831</v>
      </c>
      <c r="H2605" s="2" t="s">
        <v>21</v>
      </c>
      <c r="I2605" s="2" t="s">
        <v>6211</v>
      </c>
      <c r="J2605" s="3" t="str">
        <f>HYPERLINK("https://www.boe.es/gazeta/dias/1817/07/24/pdfs/GMD-1817-88.pdf#page=8","Abrir facsímil")</f>
        <v>Abrir facsímil</v>
      </c>
      <c r="K2605" s="3" t="s">
        <v>23</v>
      </c>
    </row>
    <row r="2606" spans="1:11" ht="42" customHeight="1">
      <c r="A2606" s="2" t="s">
        <v>6208</v>
      </c>
      <c r="B2606" s="2" t="s">
        <v>6208</v>
      </c>
      <c r="C2606" s="2" t="s">
        <v>36</v>
      </c>
      <c r="D2606" s="2" t="s">
        <v>37</v>
      </c>
      <c r="E2606" s="5">
        <v>-30109</v>
      </c>
      <c r="F2606" s="3" t="s">
        <v>205</v>
      </c>
      <c r="G2606" s="3" t="s">
        <v>887</v>
      </c>
      <c r="H2606" s="2" t="s">
        <v>21</v>
      </c>
      <c r="I2606" s="2" t="s">
        <v>6212</v>
      </c>
      <c r="J2606" s="3" t="str">
        <f>HYPERLINK("https://www.boe.es/gazeta/dias/1817/07/24/pdfs/GMD-1817-88.pdf#page=9","Abrir facsímil")</f>
        <v>Abrir facsímil</v>
      </c>
      <c r="K2606" s="3" t="s">
        <v>23</v>
      </c>
    </row>
    <row r="2607" spans="1:11" ht="42" customHeight="1">
      <c r="A2607" s="2" t="s">
        <v>6208</v>
      </c>
      <c r="B2607" s="2" t="s">
        <v>6208</v>
      </c>
      <c r="C2607" s="2" t="s">
        <v>43</v>
      </c>
      <c r="D2607" s="2" t="s">
        <v>44</v>
      </c>
      <c r="E2607" s="5">
        <v>-30072</v>
      </c>
      <c r="F2607" s="3" t="s">
        <v>442</v>
      </c>
      <c r="G2607" s="3" t="s">
        <v>1767</v>
      </c>
      <c r="H2607" s="2" t="s">
        <v>21</v>
      </c>
      <c r="I2607" s="2" t="s">
        <v>6213</v>
      </c>
      <c r="J2607" s="3" t="str">
        <f>HYPERLINK("https://www.boe.es/gazeta/dias/1817/08/30/pdfs/GMD-1817-104.pdf#page=8","Abrir facsímil")</f>
        <v>Abrir facsímil</v>
      </c>
      <c r="K2607" s="3" t="s">
        <v>23</v>
      </c>
    </row>
    <row r="2608" spans="1:11" ht="42" customHeight="1">
      <c r="A2608" s="2" t="s">
        <v>6208</v>
      </c>
      <c r="B2608" s="2" t="s">
        <v>6208</v>
      </c>
      <c r="C2608" s="2" t="s">
        <v>36</v>
      </c>
      <c r="D2608" s="2" t="s">
        <v>37</v>
      </c>
      <c r="E2608" s="5">
        <v>-30037</v>
      </c>
      <c r="F2608" s="3" t="s">
        <v>453</v>
      </c>
      <c r="G2608" s="3" t="s">
        <v>72</v>
      </c>
      <c r="H2608" s="2" t="s">
        <v>21</v>
      </c>
      <c r="I2608" s="2" t="s">
        <v>6214</v>
      </c>
      <c r="J2608" s="3" t="str">
        <f>HYPERLINK("https://www.boe.es/gazeta/dias/1817/10/04/pdfs/GMD-1817-119.pdf#page=1","Abrir facsímil")</f>
        <v>Abrir facsímil</v>
      </c>
      <c r="K2608" s="3" t="s">
        <v>23</v>
      </c>
    </row>
    <row r="2609" spans="1:11" ht="42" customHeight="1">
      <c r="A2609" s="2" t="s">
        <v>6208</v>
      </c>
      <c r="B2609" s="2" t="s">
        <v>6208</v>
      </c>
      <c r="C2609" s="2" t="s">
        <v>36</v>
      </c>
      <c r="D2609" s="2" t="s">
        <v>37</v>
      </c>
      <c r="E2609" s="5">
        <v>-30011</v>
      </c>
      <c r="F2609" s="3" t="s">
        <v>313</v>
      </c>
      <c r="G2609" s="3" t="s">
        <v>39</v>
      </c>
      <c r="H2609" s="2" t="s">
        <v>21</v>
      </c>
      <c r="I2609" s="2" t="s">
        <v>6215</v>
      </c>
      <c r="J2609" s="3" t="str">
        <f>HYPERLINK("https://www.boe.es/gazeta/dias/1817/10/30/pdfs/GMD-1817-130.pdf#page=5","Abrir facsímil")</f>
        <v>Abrir facsímil</v>
      </c>
      <c r="K2609" s="3" t="s">
        <v>23</v>
      </c>
    </row>
    <row r="2610" spans="1:11" ht="42" customHeight="1">
      <c r="A2610" s="2" t="s">
        <v>6208</v>
      </c>
      <c r="B2610" s="2" t="s">
        <v>6208</v>
      </c>
      <c r="C2610" s="2" t="s">
        <v>36</v>
      </c>
      <c r="D2610" s="2" t="s">
        <v>37</v>
      </c>
      <c r="E2610" s="5">
        <v>-29990</v>
      </c>
      <c r="F2610" s="3" t="s">
        <v>542</v>
      </c>
      <c r="G2610" s="3" t="s">
        <v>72</v>
      </c>
      <c r="H2610" s="2" t="s">
        <v>21</v>
      </c>
      <c r="I2610" s="2" t="s">
        <v>6216</v>
      </c>
      <c r="J2610" s="3" t="str">
        <f>HYPERLINK("https://www.boe.es/gazeta/dias/1817/11/20/pdfs/GMD-1817-139.pdf#page=1","Abrir facsímil")</f>
        <v>Abrir facsímil</v>
      </c>
      <c r="K2610" s="3" t="s">
        <v>23</v>
      </c>
    </row>
    <row r="2611" spans="1:11" ht="42" customHeight="1">
      <c r="A2611" s="2" t="s">
        <v>6217</v>
      </c>
      <c r="B2611" s="2" t="s">
        <v>6218</v>
      </c>
      <c r="C2611" s="2" t="s">
        <v>43</v>
      </c>
      <c r="D2611" s="2" t="s">
        <v>44</v>
      </c>
      <c r="E2611" s="5">
        <v>-30013</v>
      </c>
      <c r="F2611" s="3" t="s">
        <v>464</v>
      </c>
      <c r="G2611" s="3" t="s">
        <v>39</v>
      </c>
      <c r="H2611" s="2" t="s">
        <v>21</v>
      </c>
      <c r="I2611" s="2" t="s">
        <v>6219</v>
      </c>
      <c r="J2611" s="3" t="str">
        <f>HYPERLINK("https://www.boe.es/gazeta/dias/1817/10/28/pdfs/GMD-1817-129.pdf#page=5","Abrir facsímil")</f>
        <v>Abrir facsímil</v>
      </c>
      <c r="K2611" s="3" t="s">
        <v>23</v>
      </c>
    </row>
    <row r="2612" spans="1:11" ht="42" customHeight="1">
      <c r="A2612" s="2" t="s">
        <v>6220</v>
      </c>
      <c r="B2612" s="2" t="s">
        <v>6220</v>
      </c>
      <c r="C2612" s="2" t="s">
        <v>55</v>
      </c>
      <c r="D2612" s="2" t="s">
        <v>44</v>
      </c>
      <c r="E2612" s="5">
        <v>-30135</v>
      </c>
      <c r="F2612" s="3" t="s">
        <v>239</v>
      </c>
      <c r="G2612" s="3" t="s">
        <v>72</v>
      </c>
      <c r="H2612" s="2" t="s">
        <v>21</v>
      </c>
      <c r="I2612" s="2" t="s">
        <v>6221</v>
      </c>
      <c r="J2612" s="3" t="str">
        <f>HYPERLINK("https://www.boe.es/gazeta/dias/1817/06/28/pdfs/GMD-1817-77.pdf#page=1","Abrir facsímil")</f>
        <v>Abrir facsímil</v>
      </c>
      <c r="K2612" s="3" t="s">
        <v>23</v>
      </c>
    </row>
    <row r="2613" spans="1:11" ht="42" customHeight="1">
      <c r="A2613" s="2" t="s">
        <v>6222</v>
      </c>
      <c r="B2613" s="2" t="s">
        <v>6223</v>
      </c>
      <c r="C2613" s="2" t="s">
        <v>43</v>
      </c>
      <c r="D2613" s="2" t="s">
        <v>44</v>
      </c>
      <c r="E2613" s="5">
        <v>-30286</v>
      </c>
      <c r="F2613" s="3" t="s">
        <v>354</v>
      </c>
      <c r="G2613" s="3" t="s">
        <v>57</v>
      </c>
      <c r="H2613" s="2" t="s">
        <v>21</v>
      </c>
      <c r="I2613" s="2" t="s">
        <v>6224</v>
      </c>
      <c r="J2613" s="3" t="str">
        <f>HYPERLINK("https://www.boe.es/gazeta/dias/1817/01/28/pdfs/GMD-1817-12.pdf#page=6","Abrir facsímil")</f>
        <v>Abrir facsímil</v>
      </c>
      <c r="K2613" s="3" t="s">
        <v>23</v>
      </c>
    </row>
    <row r="2614" spans="1:11" ht="42" customHeight="1">
      <c r="A2614" s="2" t="s">
        <v>6225</v>
      </c>
      <c r="B2614" s="2" t="s">
        <v>6226</v>
      </c>
      <c r="C2614" s="2" t="s">
        <v>36</v>
      </c>
      <c r="D2614" s="2" t="s">
        <v>37</v>
      </c>
      <c r="E2614" s="5">
        <v>-30149</v>
      </c>
      <c r="F2614" s="3" t="s">
        <v>430</v>
      </c>
      <c r="G2614" s="3" t="s">
        <v>39</v>
      </c>
      <c r="H2614" s="2" t="s">
        <v>21</v>
      </c>
      <c r="I2614" s="2" t="s">
        <v>6227</v>
      </c>
      <c r="J2614" s="3" t="str">
        <f>HYPERLINK("https://www.boe.es/gazeta/dias/1817/06/14/pdfs/GMD-1817-71.pdf#page=5","Abrir facsímil")</f>
        <v>Abrir facsímil</v>
      </c>
      <c r="K2614" s="3" t="s">
        <v>23</v>
      </c>
    </row>
    <row r="2615" spans="1:11" ht="42" customHeight="1">
      <c r="A2615" s="2" t="s">
        <v>6228</v>
      </c>
      <c r="B2615" s="2" t="s">
        <v>6229</v>
      </c>
      <c r="C2615" s="2" t="s">
        <v>36</v>
      </c>
      <c r="D2615" s="2" t="s">
        <v>37</v>
      </c>
      <c r="E2615" s="5">
        <v>-29985</v>
      </c>
      <c r="F2615" s="3" t="s">
        <v>76</v>
      </c>
      <c r="G2615" s="3" t="s">
        <v>39</v>
      </c>
      <c r="H2615" s="2" t="s">
        <v>21</v>
      </c>
      <c r="I2615" s="2" t="s">
        <v>6230</v>
      </c>
      <c r="J2615" s="3" t="str">
        <f>HYPERLINK("https://www.boe.es/gazeta/dias/1817/11/25/pdfs/GMD-1817-141.pdf#page=5","Abrir facsímil")</f>
        <v>Abrir facsímil</v>
      </c>
      <c r="K2615" s="3" t="s">
        <v>23</v>
      </c>
    </row>
    <row r="2616" spans="1:11" ht="42" customHeight="1">
      <c r="A2616" s="2" t="s">
        <v>6231</v>
      </c>
      <c r="B2616" s="2" t="s">
        <v>6232</v>
      </c>
      <c r="C2616" s="2" t="s">
        <v>36</v>
      </c>
      <c r="D2616" s="2" t="s">
        <v>37</v>
      </c>
      <c r="E2616" s="5">
        <v>-29985</v>
      </c>
      <c r="F2616" s="3" t="s">
        <v>76</v>
      </c>
      <c r="G2616" s="3" t="s">
        <v>144</v>
      </c>
      <c r="H2616" s="2" t="s">
        <v>21</v>
      </c>
      <c r="I2616" s="2" t="s">
        <v>6233</v>
      </c>
      <c r="J2616" s="3" t="str">
        <f>HYPERLINK("https://www.boe.es/gazeta/dias/1817/11/25/pdfs/GMD-1817-141.pdf#page=4","Abrir facsímil")</f>
        <v>Abrir facsímil</v>
      </c>
      <c r="K2616" s="3" t="s">
        <v>23</v>
      </c>
    </row>
    <row r="2617" spans="1:11" ht="42" customHeight="1">
      <c r="A2617" s="2" t="s">
        <v>6234</v>
      </c>
      <c r="B2617" s="2" t="s">
        <v>6235</v>
      </c>
      <c r="C2617" s="2" t="s">
        <v>43</v>
      </c>
      <c r="D2617" s="2" t="s">
        <v>44</v>
      </c>
      <c r="E2617" s="5">
        <v>-30286</v>
      </c>
      <c r="F2617" s="3" t="s">
        <v>354</v>
      </c>
      <c r="G2617" s="3" t="s">
        <v>1580</v>
      </c>
      <c r="H2617" s="2" t="s">
        <v>21</v>
      </c>
      <c r="I2617" s="2" t="s">
        <v>6236</v>
      </c>
      <c r="J2617" s="3" t="str">
        <f>HYPERLINK("https://www.boe.es/gazeta/dias/1817/01/28/pdfs/GMD-1817-12.pdf#page=5","Abrir facsímil")</f>
        <v>Abrir facsímil</v>
      </c>
      <c r="K2617" s="3" t="s">
        <v>23</v>
      </c>
    </row>
    <row r="2618" spans="1:11" ht="42" customHeight="1">
      <c r="A2618" s="2" t="s">
        <v>6237</v>
      </c>
      <c r="B2618" s="2" t="s">
        <v>6238</v>
      </c>
      <c r="C2618" s="2" t="s">
        <v>49</v>
      </c>
      <c r="D2618" s="2" t="s">
        <v>44</v>
      </c>
      <c r="E2618" s="5">
        <v>-30002</v>
      </c>
      <c r="F2618" s="3" t="s">
        <v>469</v>
      </c>
      <c r="G2618" s="3" t="s">
        <v>77</v>
      </c>
      <c r="H2618" s="2" t="s">
        <v>21</v>
      </c>
      <c r="I2618" s="2" t="s">
        <v>6239</v>
      </c>
      <c r="J2618" s="3" t="str">
        <f>HYPERLINK("https://www.boe.es/gazeta/dias/1817/11/08/pdfs/GMD-1817-134.pdf#page=8","Abrir facsímil")</f>
        <v>Abrir facsímil</v>
      </c>
      <c r="K2618" s="3" t="s">
        <v>23</v>
      </c>
    </row>
    <row r="2619" spans="1:11" ht="42" customHeight="1">
      <c r="A2619" s="2" t="s">
        <v>6240</v>
      </c>
      <c r="B2619" s="2" t="s">
        <v>6241</v>
      </c>
      <c r="C2619" s="2" t="s">
        <v>510</v>
      </c>
      <c r="D2619" s="2" t="s">
        <v>44</v>
      </c>
      <c r="E2619" s="5">
        <v>-30030</v>
      </c>
      <c r="F2619" s="3" t="s">
        <v>508</v>
      </c>
      <c r="G2619" s="3" t="s">
        <v>82</v>
      </c>
      <c r="H2619" s="2" t="s">
        <v>27</v>
      </c>
      <c r="I2619" s="2" t="s">
        <v>6242</v>
      </c>
      <c r="J2619" s="3" t="str">
        <f>HYPERLINK("https://www.boe.es/gazeta/dias/1817/10/11/pdfs/GMD-1817-122.pdf#page=12","Abrir facsímil")</f>
        <v>Abrir facsímil</v>
      </c>
      <c r="K2619" s="3" t="s">
        <v>29</v>
      </c>
    </row>
    <row r="2620" spans="1:11" ht="42" customHeight="1">
      <c r="A2620" s="2" t="s">
        <v>6243</v>
      </c>
      <c r="B2620" s="2" t="s">
        <v>6244</v>
      </c>
      <c r="C2620" s="2" t="s">
        <v>17</v>
      </c>
      <c r="D2620" s="2" t="s">
        <v>18</v>
      </c>
      <c r="E2620" s="5">
        <v>-30125</v>
      </c>
      <c r="F2620" s="3" t="s">
        <v>102</v>
      </c>
      <c r="G2620" s="3" t="s">
        <v>103</v>
      </c>
      <c r="H2620" s="2" t="s">
        <v>21</v>
      </c>
      <c r="I2620" s="2" t="s">
        <v>6245</v>
      </c>
      <c r="J2620" s="3" t="str">
        <f>HYPERLINK("https://www.boe.es/gazeta/dias/1817/07/08/pdfs/GMD-1817-81.pdf#page=12","Abrir facsímil")</f>
        <v>Abrir facsímil</v>
      </c>
      <c r="K2620" s="3" t="s">
        <v>23</v>
      </c>
    </row>
    <row r="2621" spans="1:11" ht="42" customHeight="1">
      <c r="A2621" s="2" t="s">
        <v>6246</v>
      </c>
      <c r="B2621" s="2" t="s">
        <v>6247</v>
      </c>
      <c r="C2621" s="2" t="s">
        <v>36</v>
      </c>
      <c r="D2621" s="2" t="s">
        <v>37</v>
      </c>
      <c r="E2621" s="5">
        <v>-30200</v>
      </c>
      <c r="F2621" s="3" t="s">
        <v>725</v>
      </c>
      <c r="G2621" s="3" t="s">
        <v>57</v>
      </c>
      <c r="H2621" s="2" t="s">
        <v>21</v>
      </c>
      <c r="I2621" s="2" t="s">
        <v>6248</v>
      </c>
      <c r="J2621" s="3" t="str">
        <f>HYPERLINK("https://www.boe.es/gazeta/dias/1817/04/24/pdfs/GMD-1817-49.pdf#page=6","Abrir facsímil")</f>
        <v>Abrir facsímil</v>
      </c>
      <c r="K2621" s="3" t="s">
        <v>23</v>
      </c>
    </row>
    <row r="2622" spans="1:11" ht="42" customHeight="1">
      <c r="A2622" s="2" t="s">
        <v>6249</v>
      </c>
      <c r="B2622" s="2" t="s">
        <v>6249</v>
      </c>
      <c r="C2622" s="2" t="s">
        <v>17</v>
      </c>
      <c r="D2622" s="2" t="s">
        <v>18</v>
      </c>
      <c r="E2622" s="5">
        <v>-30170</v>
      </c>
      <c r="F2622" s="3" t="s">
        <v>98</v>
      </c>
      <c r="G2622" s="3" t="s">
        <v>551</v>
      </c>
      <c r="H2622" s="2" t="s">
        <v>21</v>
      </c>
      <c r="I2622" s="2" t="s">
        <v>6250</v>
      </c>
      <c r="J2622" s="3" t="str">
        <f>HYPERLINK("https://www.boe.es/gazeta/dias/1817/05/24/pdfs/GMD-1817-62.pdf#page=3","Abrir facsímil")</f>
        <v>Abrir facsímil</v>
      </c>
      <c r="K2622" s="3" t="s">
        <v>23</v>
      </c>
    </row>
    <row r="2623" spans="1:11" ht="42" customHeight="1">
      <c r="A2623" s="2" t="s">
        <v>6251</v>
      </c>
      <c r="B2623" s="2" t="s">
        <v>6252</v>
      </c>
      <c r="C2623" s="2" t="s">
        <v>36</v>
      </c>
      <c r="D2623" s="2" t="s">
        <v>37</v>
      </c>
      <c r="E2623" s="5">
        <v>-29995</v>
      </c>
      <c r="F2623" s="3" t="s">
        <v>514</v>
      </c>
      <c r="G2623" s="3" t="s">
        <v>72</v>
      </c>
      <c r="H2623" s="2" t="s">
        <v>21</v>
      </c>
      <c r="I2623" s="2" t="s">
        <v>6253</v>
      </c>
      <c r="J2623" s="3" t="str">
        <f>HYPERLINK("https://www.boe.es/gazeta/dias/1817/11/15/pdfs/GMD-1817-137.pdf#page=1","Abrir facsímil")</f>
        <v>Abrir facsímil</v>
      </c>
      <c r="K2623" s="3" t="s">
        <v>23</v>
      </c>
    </row>
    <row r="2624" spans="1:11" ht="42" customHeight="1">
      <c r="A2624" s="2" t="s">
        <v>6254</v>
      </c>
      <c r="B2624" s="2" t="s">
        <v>6255</v>
      </c>
      <c r="C2624" s="2" t="s">
        <v>36</v>
      </c>
      <c r="D2624" s="2" t="s">
        <v>37</v>
      </c>
      <c r="E2624" s="5">
        <v>-30048</v>
      </c>
      <c r="F2624" s="3" t="s">
        <v>573</v>
      </c>
      <c r="G2624" s="3" t="s">
        <v>20</v>
      </c>
      <c r="H2624" s="2" t="s">
        <v>27</v>
      </c>
      <c r="I2624" s="2" t="s">
        <v>6256</v>
      </c>
      <c r="J2624" s="3" t="str">
        <f>HYPERLINK("https://www.boe.es/gazeta/dias/1817/09/23/pdfs/GMD-1817-114.pdf#page=7","Abrir facsímil")</f>
        <v>Abrir facsímil</v>
      </c>
      <c r="K2624" s="3" t="s">
        <v>29</v>
      </c>
    </row>
    <row r="2625" spans="1:11" ht="42" customHeight="1">
      <c r="A2625" s="2" t="s">
        <v>6257</v>
      </c>
      <c r="B2625" s="2" t="s">
        <v>6258</v>
      </c>
      <c r="C2625" s="2" t="s">
        <v>17</v>
      </c>
      <c r="D2625" s="2" t="s">
        <v>18</v>
      </c>
      <c r="E2625" s="5">
        <v>-30289</v>
      </c>
      <c r="F2625" s="3" t="s">
        <v>193</v>
      </c>
      <c r="G2625" s="3" t="s">
        <v>77</v>
      </c>
      <c r="H2625" s="2" t="s">
        <v>21</v>
      </c>
      <c r="I2625" s="2" t="s">
        <v>6259</v>
      </c>
      <c r="J2625" s="3" t="str">
        <f>HYPERLINK("https://www.boe.es/gazeta/dias/1817/01/25/pdfs/GMD-1817-11.pdf#page=8","Abrir facsímil")</f>
        <v>Abrir facsímil</v>
      </c>
      <c r="K2625" s="3" t="s">
        <v>23</v>
      </c>
    </row>
    <row r="2626" spans="1:11" ht="42" customHeight="1">
      <c r="A2626" s="2" t="s">
        <v>6260</v>
      </c>
      <c r="B2626" s="2" t="s">
        <v>6260</v>
      </c>
      <c r="C2626" s="2" t="s">
        <v>36</v>
      </c>
      <c r="D2626" s="2" t="s">
        <v>37</v>
      </c>
      <c r="E2626" s="5">
        <v>-30039</v>
      </c>
      <c r="F2626" s="3" t="s">
        <v>558</v>
      </c>
      <c r="G2626" s="3" t="s">
        <v>551</v>
      </c>
      <c r="H2626" s="2" t="s">
        <v>21</v>
      </c>
      <c r="I2626" s="2" t="s">
        <v>6261</v>
      </c>
      <c r="J2626" s="3" t="str">
        <f>HYPERLINK("https://www.boe.es/gazeta/dias/1817/10/02/pdfs/GMD-1817-118.pdf#page=3","Abrir facsímil")</f>
        <v>Abrir facsímil</v>
      </c>
      <c r="K2626" s="3" t="s">
        <v>23</v>
      </c>
    </row>
    <row r="2627" spans="1:11" ht="42" customHeight="1">
      <c r="A2627" s="2" t="s">
        <v>6262</v>
      </c>
      <c r="B2627" s="2" t="s">
        <v>6263</v>
      </c>
      <c r="C2627" s="2" t="s">
        <v>36</v>
      </c>
      <c r="D2627" s="2" t="s">
        <v>37</v>
      </c>
      <c r="E2627" s="5">
        <v>-29957</v>
      </c>
      <c r="F2627" s="3" t="s">
        <v>1001</v>
      </c>
      <c r="G2627" s="3" t="s">
        <v>20</v>
      </c>
      <c r="H2627" s="2" t="s">
        <v>21</v>
      </c>
      <c r="I2627" s="2" t="s">
        <v>6264</v>
      </c>
      <c r="J2627" s="3" t="str">
        <f>HYPERLINK("https://www.boe.es/gazeta/dias/1817/12/23/pdfs/GMD-1817-153.pdf#page=7","Abrir facsímil")</f>
        <v>Abrir facsímil</v>
      </c>
      <c r="K2627" s="3" t="s">
        <v>23</v>
      </c>
    </row>
    <row r="2628" spans="1:11" ht="42" customHeight="1">
      <c r="A2628" s="2" t="s">
        <v>6265</v>
      </c>
      <c r="B2628" s="2" t="s">
        <v>6266</v>
      </c>
      <c r="C2628" s="2" t="s">
        <v>43</v>
      </c>
      <c r="D2628" s="2" t="s">
        <v>44</v>
      </c>
      <c r="E2628" s="5">
        <v>-29967</v>
      </c>
      <c r="F2628" s="3" t="s">
        <v>183</v>
      </c>
      <c r="G2628" s="3" t="s">
        <v>20</v>
      </c>
      <c r="H2628" s="2" t="s">
        <v>27</v>
      </c>
      <c r="I2628" s="2" t="s">
        <v>6267</v>
      </c>
      <c r="J2628" s="3" t="str">
        <f>HYPERLINK("https://www.boe.es/gazeta/dias/1817/12/13/pdfs/GMD-1817-149.pdf#page=7","Abrir facsímil")</f>
        <v>Abrir facsímil</v>
      </c>
      <c r="K2628" s="3" t="s">
        <v>29</v>
      </c>
    </row>
    <row r="2629" spans="1:11" ht="42" customHeight="1">
      <c r="A2629" s="2" t="s">
        <v>6268</v>
      </c>
      <c r="B2629" s="2" t="s">
        <v>6269</v>
      </c>
      <c r="C2629" s="2" t="s">
        <v>36</v>
      </c>
      <c r="D2629" s="2" t="s">
        <v>37</v>
      </c>
      <c r="E2629" s="5">
        <v>-30272</v>
      </c>
      <c r="F2629" s="3" t="s">
        <v>493</v>
      </c>
      <c r="G2629" s="3" t="s">
        <v>57</v>
      </c>
      <c r="H2629" s="2" t="s">
        <v>27</v>
      </c>
      <c r="I2629" s="2" t="s">
        <v>6270</v>
      </c>
      <c r="J2629" s="3" t="str">
        <f>HYPERLINK("https://www.boe.es/gazeta/dias/1817/02/11/pdfs/GMD-1817-18.pdf#page=6","Abrir facsímil")</f>
        <v>Abrir facsímil</v>
      </c>
      <c r="K2629" s="3" t="s">
        <v>29</v>
      </c>
    </row>
    <row r="2630" spans="1:11" ht="42" customHeight="1">
      <c r="A2630" s="2" t="s">
        <v>6271</v>
      </c>
      <c r="B2630" s="2" t="s">
        <v>6272</v>
      </c>
      <c r="C2630" s="2" t="s">
        <v>43</v>
      </c>
      <c r="D2630" s="2" t="s">
        <v>44</v>
      </c>
      <c r="E2630" s="5">
        <v>-30293</v>
      </c>
      <c r="F2630" s="3" t="s">
        <v>143</v>
      </c>
      <c r="G2630" s="3" t="s">
        <v>144</v>
      </c>
      <c r="H2630" s="2" t="s">
        <v>21</v>
      </c>
      <c r="I2630" s="2" t="s">
        <v>6273</v>
      </c>
      <c r="J2630" s="3" t="str">
        <f>HYPERLINK("https://www.boe.es/gazeta/dias/1817/01/21/pdfs/GMD-1817-9.pdf#page=4","Abrir facsímil")</f>
        <v>Abrir facsímil</v>
      </c>
      <c r="K2630" s="3" t="s">
        <v>23</v>
      </c>
    </row>
    <row r="2631" spans="1:11" ht="42" customHeight="1">
      <c r="A2631" s="2" t="s">
        <v>6274</v>
      </c>
      <c r="B2631" s="2" t="s">
        <v>6275</v>
      </c>
      <c r="C2631" s="2" t="s">
        <v>36</v>
      </c>
      <c r="D2631" s="2" t="s">
        <v>37</v>
      </c>
      <c r="E2631" s="5">
        <v>-30167</v>
      </c>
      <c r="F2631" s="3" t="s">
        <v>153</v>
      </c>
      <c r="G2631" s="3" t="s">
        <v>20</v>
      </c>
      <c r="H2631" s="2" t="s">
        <v>21</v>
      </c>
      <c r="I2631" s="2" t="s">
        <v>6276</v>
      </c>
      <c r="J2631" s="3" t="str">
        <f>HYPERLINK("https://www.boe.es/gazeta/dias/1817/05/27/pdfs/GMD-1817-63.pdf#page=7","Abrir facsímil")</f>
        <v>Abrir facsímil</v>
      </c>
      <c r="K2631" s="3" t="s">
        <v>23</v>
      </c>
    </row>
    <row r="2632" spans="1:11" ht="42" customHeight="1">
      <c r="A2632" s="2" t="s">
        <v>6277</v>
      </c>
      <c r="B2632" s="2" t="s">
        <v>6278</v>
      </c>
      <c r="C2632" s="2" t="s">
        <v>36</v>
      </c>
      <c r="D2632" s="2" t="s">
        <v>37</v>
      </c>
      <c r="E2632" s="5">
        <v>-30272</v>
      </c>
      <c r="F2632" s="3" t="s">
        <v>493</v>
      </c>
      <c r="G2632" s="3" t="s">
        <v>57</v>
      </c>
      <c r="H2632" s="2" t="s">
        <v>21</v>
      </c>
      <c r="I2632" s="2" t="s">
        <v>6279</v>
      </c>
      <c r="J2632" s="3" t="str">
        <f>HYPERLINK("https://www.boe.es/gazeta/dias/1817/02/11/pdfs/GMD-1817-18.pdf#page=6","Abrir facsímil")</f>
        <v>Abrir facsímil</v>
      </c>
      <c r="K2632" s="3" t="s">
        <v>23</v>
      </c>
    </row>
    <row r="2633" spans="1:11" ht="42" customHeight="1">
      <c r="A2633" s="2" t="s">
        <v>6280</v>
      </c>
      <c r="B2633" s="2" t="s">
        <v>6281</v>
      </c>
      <c r="C2633" s="2" t="s">
        <v>138</v>
      </c>
      <c r="D2633" s="2" t="s">
        <v>44</v>
      </c>
      <c r="E2633" s="5">
        <v>-30048</v>
      </c>
      <c r="F2633" s="3" t="s">
        <v>573</v>
      </c>
      <c r="G2633" s="3" t="s">
        <v>77</v>
      </c>
      <c r="H2633" s="2" t="s">
        <v>27</v>
      </c>
      <c r="I2633" s="2" t="s">
        <v>6282</v>
      </c>
      <c r="J2633" s="3" t="str">
        <f>HYPERLINK("https://www.boe.es/gazeta/dias/1817/09/23/pdfs/GMD-1817-114.pdf#page=8","Abrir facsímil")</f>
        <v>Abrir facsímil</v>
      </c>
      <c r="K2633" s="3" t="s">
        <v>29</v>
      </c>
    </row>
    <row r="2634" spans="1:11" ht="42" customHeight="1">
      <c r="A2634" s="2" t="s">
        <v>6283</v>
      </c>
      <c r="B2634" s="2" t="s">
        <v>6284</v>
      </c>
      <c r="C2634" s="2" t="s">
        <v>43</v>
      </c>
      <c r="D2634" s="2" t="s">
        <v>44</v>
      </c>
      <c r="E2634" s="5">
        <v>-30303</v>
      </c>
      <c r="F2634" s="3" t="s">
        <v>407</v>
      </c>
      <c r="G2634" s="3" t="s">
        <v>39</v>
      </c>
      <c r="H2634" s="2" t="s">
        <v>21</v>
      </c>
      <c r="I2634" s="2" t="s">
        <v>6285</v>
      </c>
      <c r="J2634" s="3" t="str">
        <f>HYPERLINK("https://www.boe.es/gazeta/dias/1817/01/11/pdfs/GMD-1817-5.pdf#page=5","Abrir facsímil")</f>
        <v>Abrir facsímil</v>
      </c>
      <c r="K2634" s="3" t="s">
        <v>23</v>
      </c>
    </row>
    <row r="2635" spans="1:11" ht="42" customHeight="1">
      <c r="A2635" s="2" t="s">
        <v>6286</v>
      </c>
      <c r="B2635" s="2" t="s">
        <v>6287</v>
      </c>
      <c r="C2635" s="2" t="s">
        <v>17</v>
      </c>
      <c r="D2635" s="2" t="s">
        <v>18</v>
      </c>
      <c r="E2635" s="5">
        <v>-30265</v>
      </c>
      <c r="F2635" s="3" t="s">
        <v>107</v>
      </c>
      <c r="G2635" s="3" t="s">
        <v>298</v>
      </c>
      <c r="H2635" s="2" t="s">
        <v>27</v>
      </c>
      <c r="I2635" s="2" t="s">
        <v>6288</v>
      </c>
      <c r="J2635" s="3" t="str">
        <f>HYPERLINK("https://www.boe.es/gazeta/dias/1817/02/18/pdfs/GMD-1817-21.pdf#page=6","Abrir facsímil")</f>
        <v>Abrir facsímil</v>
      </c>
      <c r="K2635" s="3" t="s">
        <v>29</v>
      </c>
    </row>
    <row r="2636" spans="1:11" ht="42" customHeight="1">
      <c r="A2636" s="2" t="s">
        <v>6289</v>
      </c>
      <c r="B2636" s="2" t="s">
        <v>6290</v>
      </c>
      <c r="C2636" s="2" t="s">
        <v>55</v>
      </c>
      <c r="D2636" s="2" t="s">
        <v>44</v>
      </c>
      <c r="E2636" s="5">
        <v>-30104</v>
      </c>
      <c r="F2636" s="3" t="s">
        <v>856</v>
      </c>
      <c r="G2636" s="3" t="s">
        <v>1277</v>
      </c>
      <c r="H2636" s="2" t="s">
        <v>21</v>
      </c>
      <c r="I2636" s="2" t="s">
        <v>6291</v>
      </c>
      <c r="J2636" s="3" t="str">
        <f>HYPERLINK("https://www.boe.es/gazeta/dias/1817/07/29/pdfs/GMD-1817-90.pdf#page=8","Abrir facsímil")</f>
        <v>Abrir facsímil</v>
      </c>
      <c r="K2636" s="3" t="s">
        <v>23</v>
      </c>
    </row>
    <row r="2637" spans="1:11" ht="42" customHeight="1">
      <c r="A2637" s="2" t="s">
        <v>6292</v>
      </c>
      <c r="B2637" s="2" t="s">
        <v>6292</v>
      </c>
      <c r="C2637" s="2" t="s">
        <v>36</v>
      </c>
      <c r="D2637" s="2" t="s">
        <v>37</v>
      </c>
      <c r="E2637" s="5">
        <v>-30158</v>
      </c>
      <c r="F2637" s="3" t="s">
        <v>305</v>
      </c>
      <c r="G2637" s="3" t="s">
        <v>39</v>
      </c>
      <c r="H2637" s="2" t="s">
        <v>21</v>
      </c>
      <c r="I2637" s="2" t="s">
        <v>6293</v>
      </c>
      <c r="J2637" s="3" t="str">
        <f>HYPERLINK("https://www.boe.es/gazeta/dias/1817/06/05/pdfs/GMD-1817-67.pdf#page=5","Abrir facsímil")</f>
        <v>Abrir facsímil</v>
      </c>
      <c r="K2637" s="3" t="s">
        <v>23</v>
      </c>
    </row>
    <row r="2638" spans="1:11" ht="42" customHeight="1">
      <c r="A2638" s="2" t="s">
        <v>6294</v>
      </c>
      <c r="B2638" s="2" t="s">
        <v>6295</v>
      </c>
      <c r="C2638" s="2" t="s">
        <v>36</v>
      </c>
      <c r="D2638" s="2" t="s">
        <v>37</v>
      </c>
      <c r="E2638" s="5">
        <v>-30039</v>
      </c>
      <c r="F2638" s="3" t="s">
        <v>558</v>
      </c>
      <c r="G2638" s="3" t="s">
        <v>1592</v>
      </c>
      <c r="H2638" s="2" t="s">
        <v>21</v>
      </c>
      <c r="I2638" s="2" t="s">
        <v>6296</v>
      </c>
      <c r="J2638" s="3" t="str">
        <f>HYPERLINK("https://www.boe.es/gazeta/dias/1817/10/02/pdfs/GMD-1817-118.pdf#page=6","Abrir facsímil")</f>
        <v>Abrir facsímil</v>
      </c>
      <c r="K2638" s="3" t="s">
        <v>23</v>
      </c>
    </row>
    <row r="2639" spans="1:11" ht="42" customHeight="1">
      <c r="A2639" s="2" t="s">
        <v>6297</v>
      </c>
      <c r="B2639" s="2" t="s">
        <v>6298</v>
      </c>
      <c r="C2639" s="2" t="s">
        <v>97</v>
      </c>
      <c r="D2639" s="2" t="s">
        <v>44</v>
      </c>
      <c r="E2639" s="5">
        <v>-29960</v>
      </c>
      <c r="F2639" s="3" t="s">
        <v>657</v>
      </c>
      <c r="G2639" s="3" t="s">
        <v>82</v>
      </c>
      <c r="H2639" s="2" t="s">
        <v>21</v>
      </c>
      <c r="I2639" s="2" t="s">
        <v>6299</v>
      </c>
      <c r="J2639" s="3" t="str">
        <f>HYPERLINK("https://www.boe.es/gazeta/dias/1817/12/20/pdfs/GMD-1817-152.pdf#page=12","Abrir facsímil")</f>
        <v>Abrir facsímil</v>
      </c>
      <c r="K2639" s="3" t="s">
        <v>23</v>
      </c>
    </row>
    <row r="2640" spans="1:11" ht="42" customHeight="1">
      <c r="A2640" s="2" t="s">
        <v>6300</v>
      </c>
      <c r="B2640" s="2" t="s">
        <v>6301</v>
      </c>
      <c r="C2640" s="2" t="s">
        <v>36</v>
      </c>
      <c r="D2640" s="2" t="s">
        <v>37</v>
      </c>
      <c r="E2640" s="5">
        <v>-30198</v>
      </c>
      <c r="F2640" s="3" t="s">
        <v>2185</v>
      </c>
      <c r="G2640" s="3" t="s">
        <v>2429</v>
      </c>
      <c r="H2640" s="2" t="s">
        <v>21</v>
      </c>
      <c r="I2640" s="2" t="s">
        <v>6302</v>
      </c>
      <c r="J2640" s="3" t="str">
        <f>HYPERLINK("https://www.boe.es/gazeta/dias/1817/04/26/pdfs/GMD-1817-50.pdf#page=7","Abrir facsímil")</f>
        <v>Abrir facsímil</v>
      </c>
      <c r="K2640" s="3" t="s">
        <v>23</v>
      </c>
    </row>
    <row r="2641" spans="1:11" ht="42" customHeight="1">
      <c r="A2641" s="2" t="s">
        <v>6303</v>
      </c>
      <c r="B2641" s="2" t="s">
        <v>6304</v>
      </c>
      <c r="C2641" s="2" t="s">
        <v>36</v>
      </c>
      <c r="D2641" s="2" t="s">
        <v>37</v>
      </c>
      <c r="E2641" s="5">
        <v>-30093</v>
      </c>
      <c r="F2641" s="3" t="s">
        <v>230</v>
      </c>
      <c r="G2641" s="3" t="s">
        <v>39</v>
      </c>
      <c r="H2641" s="2" t="s">
        <v>21</v>
      </c>
      <c r="I2641" s="2" t="s">
        <v>6305</v>
      </c>
      <c r="J2641" s="3" t="str">
        <f>HYPERLINK("https://www.boe.es/gazeta/dias/1817/08/09/pdfs/GMD-1817-95.pdf#page=5","Abrir facsímil")</f>
        <v>Abrir facsímil</v>
      </c>
      <c r="K2641" s="3" t="s">
        <v>23</v>
      </c>
    </row>
    <row r="2642" spans="1:11" ht="42" customHeight="1">
      <c r="A2642" s="2" t="s">
        <v>6306</v>
      </c>
      <c r="B2642" s="2" t="s">
        <v>6307</v>
      </c>
      <c r="C2642" s="2" t="s">
        <v>36</v>
      </c>
      <c r="D2642" s="2" t="s">
        <v>37</v>
      </c>
      <c r="E2642" s="5">
        <v>-30027</v>
      </c>
      <c r="F2642" s="3" t="s">
        <v>173</v>
      </c>
      <c r="G2642" s="3" t="s">
        <v>144</v>
      </c>
      <c r="H2642" s="2" t="s">
        <v>21</v>
      </c>
      <c r="I2642" s="2" t="s">
        <v>6308</v>
      </c>
      <c r="J2642" s="3" t="str">
        <f>HYPERLINK("https://www.boe.es/gazeta/dias/1817/10/14/pdfs/GMD-1817-123.pdf#page=4","Abrir facsímil")</f>
        <v>Abrir facsímil</v>
      </c>
      <c r="K2642" s="3" t="s">
        <v>23</v>
      </c>
    </row>
    <row r="2643" spans="1:11" ht="42" customHeight="1">
      <c r="A2643" s="2" t="s">
        <v>6309</v>
      </c>
      <c r="B2643" s="2" t="s">
        <v>6310</v>
      </c>
      <c r="C2643" s="2" t="s">
        <v>138</v>
      </c>
      <c r="D2643" s="2" t="s">
        <v>44</v>
      </c>
      <c r="E2643" s="5">
        <v>-30006</v>
      </c>
      <c r="F2643" s="3" t="s">
        <v>210</v>
      </c>
      <c r="G2643" s="3" t="s">
        <v>77</v>
      </c>
      <c r="H2643" s="2" t="s">
        <v>21</v>
      </c>
      <c r="I2643" s="2" t="s">
        <v>6311</v>
      </c>
      <c r="J2643" s="3" t="str">
        <f>HYPERLINK("https://www.boe.es/gazeta/dias/1817/11/04/pdfs/GMD-1817-132.pdf#page=8","Abrir facsímil")</f>
        <v>Abrir facsímil</v>
      </c>
      <c r="K2643" s="3" t="s">
        <v>23</v>
      </c>
    </row>
    <row r="2644" spans="1:11" ht="42" customHeight="1">
      <c r="A2644" s="2" t="s">
        <v>6312</v>
      </c>
      <c r="B2644" s="2" t="s">
        <v>6313</v>
      </c>
      <c r="C2644" s="2" t="s">
        <v>43</v>
      </c>
      <c r="D2644" s="2" t="s">
        <v>44</v>
      </c>
      <c r="E2644" s="5">
        <v>-30151</v>
      </c>
      <c r="F2644" s="3" t="s">
        <v>1422</v>
      </c>
      <c r="G2644" s="3" t="s">
        <v>20</v>
      </c>
      <c r="H2644" s="2" t="s">
        <v>21</v>
      </c>
      <c r="I2644" s="2" t="s">
        <v>6314</v>
      </c>
      <c r="J2644" s="3" t="str">
        <f>HYPERLINK("https://www.boe.es/gazeta/dias/1817/06/12/pdfs/GMD-1817-70.pdf#page=7","Abrir facsímil")</f>
        <v>Abrir facsímil</v>
      </c>
      <c r="K2644" s="3" t="s">
        <v>23</v>
      </c>
    </row>
    <row r="2645" spans="1:11" ht="42" customHeight="1">
      <c r="A2645" s="2" t="s">
        <v>6315</v>
      </c>
      <c r="B2645" s="2" t="s">
        <v>6316</v>
      </c>
      <c r="C2645" s="2" t="s">
        <v>36</v>
      </c>
      <c r="D2645" s="2" t="s">
        <v>37</v>
      </c>
      <c r="E2645" s="5">
        <v>-30030</v>
      </c>
      <c r="F2645" s="3" t="s">
        <v>508</v>
      </c>
      <c r="G2645" s="3" t="s">
        <v>144</v>
      </c>
      <c r="H2645" s="2" t="s">
        <v>21</v>
      </c>
      <c r="I2645" s="2" t="s">
        <v>6317</v>
      </c>
      <c r="J2645" s="3" t="str">
        <f>HYPERLINK("https://www.boe.es/gazeta/dias/1817/10/11/pdfs/GMD-1817-122.pdf#page=4","Abrir facsímil")</f>
        <v>Abrir facsímil</v>
      </c>
      <c r="K2645" s="3" t="s">
        <v>23</v>
      </c>
    </row>
    <row r="2646" spans="1:11" ht="42" customHeight="1">
      <c r="A2646" s="2" t="s">
        <v>6315</v>
      </c>
      <c r="B2646" s="2" t="s">
        <v>6316</v>
      </c>
      <c r="C2646" s="2" t="s">
        <v>36</v>
      </c>
      <c r="D2646" s="2" t="s">
        <v>37</v>
      </c>
      <c r="E2646" s="5">
        <v>-30013</v>
      </c>
      <c r="F2646" s="3" t="s">
        <v>464</v>
      </c>
      <c r="G2646" s="3" t="s">
        <v>39</v>
      </c>
      <c r="H2646" s="2" t="s">
        <v>21</v>
      </c>
      <c r="I2646" s="2" t="s">
        <v>6318</v>
      </c>
      <c r="J2646" s="3" t="str">
        <f>HYPERLINK("https://www.boe.es/gazeta/dias/1817/10/28/pdfs/GMD-1817-129.pdf#page=5","Abrir facsímil")</f>
        <v>Abrir facsímil</v>
      </c>
      <c r="K2646" s="3" t="s">
        <v>23</v>
      </c>
    </row>
    <row r="2647" spans="1:11" ht="42" customHeight="1">
      <c r="A2647" s="2" t="s">
        <v>6319</v>
      </c>
      <c r="B2647" s="2" t="s">
        <v>6320</v>
      </c>
      <c r="C2647" s="2" t="s">
        <v>36</v>
      </c>
      <c r="D2647" s="2" t="s">
        <v>37</v>
      </c>
      <c r="E2647" s="5">
        <v>-30060</v>
      </c>
      <c r="F2647" s="3" t="s">
        <v>446</v>
      </c>
      <c r="G2647" s="3" t="s">
        <v>39</v>
      </c>
      <c r="H2647" s="2" t="s">
        <v>21</v>
      </c>
      <c r="I2647" s="2" t="s">
        <v>6321</v>
      </c>
      <c r="J2647" s="3" t="str">
        <f>HYPERLINK("https://www.boe.es/gazeta/dias/1817/09/11/pdfs/GMD-1817-109.pdf#page=5","Abrir facsímil")</f>
        <v>Abrir facsímil</v>
      </c>
      <c r="K2647" s="3" t="s">
        <v>23</v>
      </c>
    </row>
    <row r="2648" spans="1:11" ht="42" customHeight="1">
      <c r="A2648" s="2" t="s">
        <v>6322</v>
      </c>
      <c r="B2648" s="2" t="s">
        <v>6323</v>
      </c>
      <c r="C2648" s="2" t="s">
        <v>36</v>
      </c>
      <c r="D2648" s="2" t="s">
        <v>37</v>
      </c>
      <c r="E2648" s="5">
        <v>-30011</v>
      </c>
      <c r="F2648" s="3" t="s">
        <v>313</v>
      </c>
      <c r="G2648" s="3" t="s">
        <v>1736</v>
      </c>
      <c r="H2648" s="2" t="s">
        <v>21</v>
      </c>
      <c r="I2648" s="2" t="s">
        <v>6324</v>
      </c>
      <c r="J2648" s="3" t="str">
        <f>HYPERLINK("https://www.boe.es/gazeta/dias/1817/10/30/pdfs/GMD-1817-130.pdf#page=11","Abrir facsímil")</f>
        <v>Abrir facsímil</v>
      </c>
      <c r="K2648" s="3" t="s">
        <v>23</v>
      </c>
    </row>
    <row r="2649" spans="1:11" ht="42" customHeight="1">
      <c r="A2649" s="2" t="s">
        <v>6325</v>
      </c>
      <c r="B2649" s="2" t="s">
        <v>6326</v>
      </c>
      <c r="C2649" s="2" t="s">
        <v>36</v>
      </c>
      <c r="D2649" s="2" t="s">
        <v>37</v>
      </c>
      <c r="E2649" s="5">
        <v>-30011</v>
      </c>
      <c r="F2649" s="3" t="s">
        <v>313</v>
      </c>
      <c r="G2649" s="3" t="s">
        <v>77</v>
      </c>
      <c r="H2649" s="2" t="s">
        <v>21</v>
      </c>
      <c r="I2649" s="2" t="s">
        <v>6327</v>
      </c>
      <c r="J2649" s="3" t="str">
        <f>HYPERLINK("https://www.boe.es/gazeta/dias/1817/10/30/pdfs/GMD-1817-130.pdf#page=8","Abrir facsímil")</f>
        <v>Abrir facsímil</v>
      </c>
      <c r="K2649" s="3" t="s">
        <v>23</v>
      </c>
    </row>
    <row r="2650" spans="1:11" ht="42" customHeight="1">
      <c r="A2650" s="2" t="s">
        <v>6328</v>
      </c>
      <c r="B2650" s="2" t="s">
        <v>6329</v>
      </c>
      <c r="C2650" s="2" t="s">
        <v>36</v>
      </c>
      <c r="D2650" s="2" t="s">
        <v>37</v>
      </c>
      <c r="E2650" s="5">
        <v>-30200</v>
      </c>
      <c r="F2650" s="3" t="s">
        <v>725</v>
      </c>
      <c r="G2650" s="3" t="s">
        <v>57</v>
      </c>
      <c r="H2650" s="2" t="s">
        <v>21</v>
      </c>
      <c r="I2650" s="2" t="s">
        <v>6330</v>
      </c>
      <c r="J2650" s="3" t="str">
        <f>HYPERLINK("https://www.boe.es/gazeta/dias/1817/04/24/pdfs/GMD-1817-49.pdf#page=6","Abrir facsímil")</f>
        <v>Abrir facsímil</v>
      </c>
      <c r="K2650" s="3" t="s">
        <v>23</v>
      </c>
    </row>
    <row r="2651" spans="1:11" ht="42" customHeight="1">
      <c r="A2651" s="2" t="s">
        <v>6331</v>
      </c>
      <c r="B2651" s="2" t="s">
        <v>6332</v>
      </c>
      <c r="C2651" s="2" t="s">
        <v>36</v>
      </c>
      <c r="D2651" s="2" t="s">
        <v>37</v>
      </c>
      <c r="E2651" s="5">
        <v>-30114</v>
      </c>
      <c r="F2651" s="3" t="s">
        <v>500</v>
      </c>
      <c r="G2651" s="3" t="s">
        <v>4362</v>
      </c>
      <c r="H2651" s="2" t="s">
        <v>21</v>
      </c>
      <c r="I2651" s="2" t="s">
        <v>6333</v>
      </c>
      <c r="J2651" s="3" t="str">
        <f>HYPERLINK("https://www.boe.es/gazeta/dias/1817/07/19/pdfs/GMD-1817-86.pdf#page=5","Abrir facsímil")</f>
        <v>Abrir facsímil</v>
      </c>
      <c r="K2651" s="3" t="s">
        <v>23</v>
      </c>
    </row>
    <row r="2652" spans="1:11" ht="42" customHeight="1">
      <c r="A2652" s="2" t="s">
        <v>6334</v>
      </c>
      <c r="B2652" s="2" t="s">
        <v>6335</v>
      </c>
      <c r="C2652" s="2" t="s">
        <v>36</v>
      </c>
      <c r="D2652" s="2" t="s">
        <v>37</v>
      </c>
      <c r="E2652" s="5">
        <v>-30065</v>
      </c>
      <c r="F2652" s="3" t="s">
        <v>201</v>
      </c>
      <c r="G2652" s="3" t="s">
        <v>20</v>
      </c>
      <c r="H2652" s="2" t="s">
        <v>21</v>
      </c>
      <c r="I2652" s="2" t="s">
        <v>6336</v>
      </c>
      <c r="J2652" s="3" t="str">
        <f>HYPERLINK("https://www.boe.es/gazeta/dias/1817/09/06/pdfs/GMD-1817-107.pdf#page=7","Abrir facsímil")</f>
        <v>Abrir facsímil</v>
      </c>
      <c r="K2652" s="3" t="s">
        <v>23</v>
      </c>
    </row>
    <row r="2653" spans="1:11" ht="42" customHeight="1">
      <c r="A2653" s="2" t="s">
        <v>6337</v>
      </c>
      <c r="B2653" s="2" t="s">
        <v>6338</v>
      </c>
      <c r="C2653" s="2" t="s">
        <v>43</v>
      </c>
      <c r="D2653" s="2" t="s">
        <v>44</v>
      </c>
      <c r="E2653" s="5">
        <v>-30179</v>
      </c>
      <c r="F2653" s="3" t="s">
        <v>391</v>
      </c>
      <c r="G2653" s="3" t="s">
        <v>20</v>
      </c>
      <c r="H2653" s="2" t="s">
        <v>21</v>
      </c>
      <c r="I2653" s="2" t="s">
        <v>6339</v>
      </c>
      <c r="J2653" s="3" t="str">
        <f>HYPERLINK("https://www.boe.es/gazeta/dias/1817/05/15/pdfs/GMD-1817-58.pdf#page=7","Abrir facsímil")</f>
        <v>Abrir facsímil</v>
      </c>
      <c r="K2653" s="3" t="s">
        <v>23</v>
      </c>
    </row>
    <row r="2654" spans="1:11" ht="42" customHeight="1">
      <c r="A2654" s="2" t="s">
        <v>6340</v>
      </c>
      <c r="B2654" s="2" t="s">
        <v>6341</v>
      </c>
      <c r="C2654" s="2" t="s">
        <v>36</v>
      </c>
      <c r="D2654" s="2" t="s">
        <v>37</v>
      </c>
      <c r="E2654" s="5">
        <v>-30041</v>
      </c>
      <c r="F2654" s="3" t="s">
        <v>260</v>
      </c>
      <c r="G2654" s="3" t="s">
        <v>20</v>
      </c>
      <c r="H2654" s="2" t="s">
        <v>21</v>
      </c>
      <c r="I2654" s="2" t="s">
        <v>6342</v>
      </c>
      <c r="J2654" s="3" t="str">
        <f>HYPERLINK("https://www.boe.es/gazeta/dias/1817/09/30/pdfs/GMD-1817-117.pdf#page=7","Abrir facsímil")</f>
        <v>Abrir facsímil</v>
      </c>
      <c r="K2654" s="3" t="s">
        <v>23</v>
      </c>
    </row>
    <row r="2655" spans="1:11" ht="42" customHeight="1">
      <c r="A2655" s="2" t="s">
        <v>6343</v>
      </c>
      <c r="B2655" s="2" t="s">
        <v>6344</v>
      </c>
      <c r="C2655" s="2" t="s">
        <v>97</v>
      </c>
      <c r="D2655" s="2" t="s">
        <v>44</v>
      </c>
      <c r="E2655" s="5">
        <v>-29990</v>
      </c>
      <c r="F2655" s="3" t="s">
        <v>542</v>
      </c>
      <c r="G2655" s="3" t="s">
        <v>77</v>
      </c>
      <c r="H2655" s="2" t="s">
        <v>21</v>
      </c>
      <c r="I2655" s="2" t="s">
        <v>6345</v>
      </c>
      <c r="J2655" s="3" t="str">
        <f>HYPERLINK("https://www.boe.es/gazeta/dias/1817/11/20/pdfs/GMD-1817-139.pdf#page=8","Abrir facsímil")</f>
        <v>Abrir facsímil</v>
      </c>
      <c r="K2655" s="3" t="s">
        <v>23</v>
      </c>
    </row>
    <row r="2656" spans="1:11" ht="42" customHeight="1">
      <c r="A2656" s="2" t="s">
        <v>6346</v>
      </c>
      <c r="B2656" s="2" t="s">
        <v>6347</v>
      </c>
      <c r="C2656" s="2" t="s">
        <v>36</v>
      </c>
      <c r="D2656" s="2" t="s">
        <v>37</v>
      </c>
      <c r="E2656" s="5">
        <v>-30307</v>
      </c>
      <c r="F2656" s="3" t="s">
        <v>67</v>
      </c>
      <c r="G2656" s="3" t="s">
        <v>68</v>
      </c>
      <c r="H2656" s="2" t="s">
        <v>27</v>
      </c>
      <c r="I2656" s="2" t="s">
        <v>6348</v>
      </c>
      <c r="J2656" s="3" t="str">
        <f>HYPERLINK("https://www.boe.es/gazeta/dias/1817/01/07/pdfs/GMD-1817-3.pdf#page=8","Abrir facsímil")</f>
        <v>Abrir facsímil</v>
      </c>
      <c r="K2656" s="3" t="s">
        <v>29</v>
      </c>
    </row>
    <row r="2657" spans="1:11" ht="42" customHeight="1">
      <c r="A2657" s="2" t="s">
        <v>6349</v>
      </c>
      <c r="B2657" s="2" t="s">
        <v>6350</v>
      </c>
      <c r="C2657" s="2" t="s">
        <v>36</v>
      </c>
      <c r="D2657" s="2" t="s">
        <v>37</v>
      </c>
      <c r="E2657" s="5">
        <v>-30156</v>
      </c>
      <c r="F2657" s="3" t="s">
        <v>635</v>
      </c>
      <c r="G2657" s="3" t="s">
        <v>57</v>
      </c>
      <c r="H2657" s="2" t="s">
        <v>21</v>
      </c>
      <c r="I2657" s="2" t="s">
        <v>6351</v>
      </c>
      <c r="J2657" s="3" t="str">
        <f>HYPERLINK("https://www.boe.es/gazeta/dias/1817/06/07/pdfs/GMD-1817-68.pdf#page=6","Abrir facsímil")</f>
        <v>Abrir facsímil</v>
      </c>
      <c r="K2657" s="3" t="s">
        <v>23</v>
      </c>
    </row>
    <row r="2658" spans="1:11" ht="42" customHeight="1">
      <c r="A2658" s="2" t="s">
        <v>6352</v>
      </c>
      <c r="B2658" s="2" t="s">
        <v>6353</v>
      </c>
      <c r="C2658" s="2" t="s">
        <v>43</v>
      </c>
      <c r="D2658" s="2" t="s">
        <v>44</v>
      </c>
      <c r="E2658" s="5">
        <v>-30228</v>
      </c>
      <c r="F2658" s="3" t="s">
        <v>383</v>
      </c>
      <c r="G2658" s="3" t="s">
        <v>57</v>
      </c>
      <c r="H2658" s="2" t="s">
        <v>21</v>
      </c>
      <c r="I2658" s="2" t="s">
        <v>6354</v>
      </c>
      <c r="J2658" s="3" t="str">
        <f>HYPERLINK("https://www.boe.es/gazeta/dias/1817/03/27/pdfs/GMD-1817-37.pdf#page=6","Abrir facsímil")</f>
        <v>Abrir facsímil</v>
      </c>
      <c r="K2658" s="3" t="s">
        <v>23</v>
      </c>
    </row>
    <row r="2659" spans="1:11" ht="42" customHeight="1">
      <c r="A2659" s="2" t="s">
        <v>6355</v>
      </c>
      <c r="B2659" s="2" t="s">
        <v>6356</v>
      </c>
      <c r="C2659" s="2" t="s">
        <v>17</v>
      </c>
      <c r="D2659" s="2" t="s">
        <v>18</v>
      </c>
      <c r="E2659" s="5">
        <v>-30062</v>
      </c>
      <c r="F2659" s="3" t="s">
        <v>444</v>
      </c>
      <c r="G2659" s="3" t="s">
        <v>82</v>
      </c>
      <c r="H2659" s="2" t="s">
        <v>21</v>
      </c>
      <c r="I2659" s="2" t="s">
        <v>6357</v>
      </c>
      <c r="J2659" s="3" t="str">
        <f>HYPERLINK("https://www.boe.es/gazeta/dias/1817/09/09/pdfs/GMD-1817-108.pdf#page=12","Abrir facsímil")</f>
        <v>Abrir facsímil</v>
      </c>
      <c r="K2659" s="3" t="s">
        <v>23</v>
      </c>
    </row>
    <row r="2660" spans="1:11" ht="42" customHeight="1">
      <c r="A2660" s="2" t="s">
        <v>6355</v>
      </c>
      <c r="B2660" s="2" t="s">
        <v>6356</v>
      </c>
      <c r="C2660" s="2" t="s">
        <v>17</v>
      </c>
      <c r="D2660" s="2" t="s">
        <v>18</v>
      </c>
      <c r="E2660" s="5">
        <v>-30016</v>
      </c>
      <c r="F2660" s="3" t="s">
        <v>2582</v>
      </c>
      <c r="G2660" s="3" t="s">
        <v>77</v>
      </c>
      <c r="H2660" s="2" t="s">
        <v>21</v>
      </c>
      <c r="I2660" s="2" t="s">
        <v>6358</v>
      </c>
      <c r="J2660" s="3" t="str">
        <f>HYPERLINK("https://www.boe.es/gazeta/dias/1817/10/25/pdfs/GMD-1817-128.pdf#page=8","Abrir facsímil")</f>
        <v>Abrir facsímil</v>
      </c>
      <c r="K2660" s="3" t="s">
        <v>23</v>
      </c>
    </row>
    <row r="2661" spans="1:11" ht="42" customHeight="1">
      <c r="A2661" s="2" t="s">
        <v>6355</v>
      </c>
      <c r="B2661" s="2" t="s">
        <v>6356</v>
      </c>
      <c r="C2661" s="2" t="s">
        <v>17</v>
      </c>
      <c r="D2661" s="2" t="s">
        <v>18</v>
      </c>
      <c r="E2661" s="5">
        <v>-29976</v>
      </c>
      <c r="F2661" s="3" t="s">
        <v>81</v>
      </c>
      <c r="G2661" s="3" t="s">
        <v>82</v>
      </c>
      <c r="H2661" s="2" t="s">
        <v>21</v>
      </c>
      <c r="I2661" s="2" t="s">
        <v>6359</v>
      </c>
      <c r="J2661" s="3" t="str">
        <f>HYPERLINK("https://www.boe.es/gazeta/dias/1817/12/04/pdfs/GMD-1817-145.pdf#page=12","Abrir facsímil")</f>
        <v>Abrir facsímil</v>
      </c>
      <c r="K2661" s="3" t="s">
        <v>23</v>
      </c>
    </row>
    <row r="2662" spans="1:11" ht="42" customHeight="1">
      <c r="A2662" s="2" t="s">
        <v>6360</v>
      </c>
      <c r="B2662" s="2" t="s">
        <v>6360</v>
      </c>
      <c r="C2662" s="2" t="s">
        <v>36</v>
      </c>
      <c r="D2662" s="2" t="s">
        <v>37</v>
      </c>
      <c r="E2662" s="5">
        <v>-30125</v>
      </c>
      <c r="F2662" s="3" t="s">
        <v>102</v>
      </c>
      <c r="G2662" s="3" t="s">
        <v>887</v>
      </c>
      <c r="H2662" s="2" t="s">
        <v>21</v>
      </c>
      <c r="I2662" s="2" t="s">
        <v>6361</v>
      </c>
      <c r="J2662" s="3" t="str">
        <f>HYPERLINK("https://www.boe.es/gazeta/dias/1817/07/08/pdfs/GMD-1817-81.pdf#page=9","Abrir facsímil")</f>
        <v>Abrir facsímil</v>
      </c>
      <c r="K2662" s="3" t="s">
        <v>23</v>
      </c>
    </row>
    <row r="2663" spans="1:11" ht="42" customHeight="1">
      <c r="A2663" s="2" t="s">
        <v>6362</v>
      </c>
      <c r="B2663" s="2" t="s">
        <v>6363</v>
      </c>
      <c r="C2663" s="2" t="s">
        <v>36</v>
      </c>
      <c r="D2663" s="2" t="s">
        <v>37</v>
      </c>
      <c r="E2663" s="5">
        <v>-30251</v>
      </c>
      <c r="F2663" s="3" t="s">
        <v>2096</v>
      </c>
      <c r="G2663" s="3" t="s">
        <v>2167</v>
      </c>
      <c r="H2663" s="2" t="s">
        <v>27</v>
      </c>
      <c r="I2663" s="2" t="s">
        <v>6364</v>
      </c>
      <c r="J2663" s="3" t="str">
        <f>HYPERLINK("https://www.boe.es/gazeta/dias/1817/03/04/pdfs/GMD-1817-27.pdf#page=4","Abrir facsímil")</f>
        <v>Abrir facsímil</v>
      </c>
      <c r="K2663" s="3" t="s">
        <v>29</v>
      </c>
    </row>
    <row r="2664" spans="1:11" ht="42" customHeight="1">
      <c r="A2664" s="2" t="s">
        <v>6365</v>
      </c>
      <c r="B2664" s="2" t="s">
        <v>6366</v>
      </c>
      <c r="C2664" s="2" t="s">
        <v>17</v>
      </c>
      <c r="D2664" s="2" t="s">
        <v>18</v>
      </c>
      <c r="E2664" s="5">
        <v>-30233</v>
      </c>
      <c r="F2664" s="3" t="s">
        <v>577</v>
      </c>
      <c r="G2664" s="3" t="s">
        <v>57</v>
      </c>
      <c r="H2664" s="2" t="s">
        <v>27</v>
      </c>
      <c r="I2664" s="2" t="s">
        <v>6367</v>
      </c>
      <c r="J2664" s="3" t="str">
        <f>HYPERLINK("https://www.boe.es/gazeta/dias/1817/03/22/pdfs/GMD-1817-35.pdf#page=6","Abrir facsímil")</f>
        <v>Abrir facsímil</v>
      </c>
      <c r="K2664" s="3" t="s">
        <v>29</v>
      </c>
    </row>
    <row r="2665" spans="1:11" ht="42" customHeight="1">
      <c r="A2665" s="2" t="s">
        <v>6368</v>
      </c>
      <c r="B2665" s="2" t="s">
        <v>6369</v>
      </c>
      <c r="C2665" s="2" t="s">
        <v>43</v>
      </c>
      <c r="D2665" s="2" t="s">
        <v>44</v>
      </c>
      <c r="E2665" s="5">
        <v>-30303</v>
      </c>
      <c r="F2665" s="3" t="s">
        <v>407</v>
      </c>
      <c r="G2665" s="3" t="s">
        <v>39</v>
      </c>
      <c r="H2665" s="2" t="s">
        <v>21</v>
      </c>
      <c r="I2665" s="2" t="s">
        <v>6370</v>
      </c>
      <c r="J2665" s="3" t="str">
        <f>HYPERLINK("https://www.boe.es/gazeta/dias/1817/01/11/pdfs/GMD-1817-5.pdf#page=5","Abrir facsímil")</f>
        <v>Abrir facsímil</v>
      </c>
      <c r="K2665" s="3" t="s">
        <v>23</v>
      </c>
    </row>
    <row r="2666" spans="1:11" ht="42" customHeight="1">
      <c r="A2666" s="2" t="s">
        <v>6371</v>
      </c>
      <c r="B2666" s="2" t="s">
        <v>6372</v>
      </c>
      <c r="C2666" s="2" t="s">
        <v>36</v>
      </c>
      <c r="D2666" s="2" t="s">
        <v>37</v>
      </c>
      <c r="E2666" s="5">
        <v>-29978</v>
      </c>
      <c r="F2666" s="3" t="s">
        <v>478</v>
      </c>
      <c r="G2666" s="3" t="s">
        <v>832</v>
      </c>
      <c r="H2666" s="2" t="s">
        <v>21</v>
      </c>
      <c r="I2666" s="2" t="s">
        <v>6373</v>
      </c>
      <c r="J2666" s="3" t="str">
        <f>HYPERLINK("https://www.boe.es/gazeta/dias/1817/12/02/pdfs/GMD-1817-144.pdf#page=6","Abrir facsímil")</f>
        <v>Abrir facsímil</v>
      </c>
      <c r="K2666" s="3" t="s">
        <v>23</v>
      </c>
    </row>
    <row r="2667" spans="1:11" ht="42" customHeight="1">
      <c r="A2667" s="2" t="s">
        <v>6374</v>
      </c>
      <c r="B2667" s="2" t="s">
        <v>6375</v>
      </c>
      <c r="C2667" s="2" t="s">
        <v>36</v>
      </c>
      <c r="D2667" s="2" t="s">
        <v>37</v>
      </c>
      <c r="E2667" s="5">
        <v>-30188</v>
      </c>
      <c r="F2667" s="3" t="s">
        <v>177</v>
      </c>
      <c r="G2667" s="3" t="s">
        <v>144</v>
      </c>
      <c r="H2667" s="2" t="s">
        <v>21</v>
      </c>
      <c r="I2667" s="2" t="s">
        <v>6376</v>
      </c>
      <c r="J2667" s="3" t="str">
        <f>HYPERLINK("https://www.boe.es/gazeta/dias/1817/05/06/pdfs/GMD-1817-54.pdf#page=4","Abrir facsímil")</f>
        <v>Abrir facsímil</v>
      </c>
      <c r="K2667" s="3" t="s">
        <v>23</v>
      </c>
    </row>
    <row r="2668" spans="1:11" ht="42" customHeight="1">
      <c r="A2668" s="2" t="s">
        <v>6377</v>
      </c>
      <c r="B2668" s="2" t="s">
        <v>6378</v>
      </c>
      <c r="C2668" s="2" t="s">
        <v>17</v>
      </c>
      <c r="D2668" s="2" t="s">
        <v>18</v>
      </c>
      <c r="E2668" s="5">
        <v>-30277</v>
      </c>
      <c r="F2668" s="3" t="s">
        <v>3822</v>
      </c>
      <c r="G2668" s="3" t="s">
        <v>4684</v>
      </c>
      <c r="H2668" s="2" t="s">
        <v>21</v>
      </c>
      <c r="I2668" s="2" t="s">
        <v>6379</v>
      </c>
      <c r="J2668" s="3" t="str">
        <f>HYPERLINK("https://www.boe.es/gazeta/dias/1817/02/06/pdfs/GMD-1817-16.pdf#page=6","Abrir facsímil")</f>
        <v>Abrir facsímil</v>
      </c>
      <c r="K2668" s="3" t="s">
        <v>23</v>
      </c>
    </row>
    <row r="2669" spans="1:11" ht="42" customHeight="1">
      <c r="A2669" s="2" t="s">
        <v>6380</v>
      </c>
      <c r="B2669" s="2" t="s">
        <v>6381</v>
      </c>
      <c r="C2669" s="2" t="s">
        <v>49</v>
      </c>
      <c r="D2669" s="2" t="s">
        <v>44</v>
      </c>
      <c r="E2669" s="5">
        <v>-29990</v>
      </c>
      <c r="F2669" s="3" t="s">
        <v>542</v>
      </c>
      <c r="G2669" s="3" t="s">
        <v>77</v>
      </c>
      <c r="H2669" s="2" t="s">
        <v>27</v>
      </c>
      <c r="I2669" s="2" t="s">
        <v>6382</v>
      </c>
      <c r="J2669" s="3" t="str">
        <f>HYPERLINK("https://www.boe.es/gazeta/dias/1817/11/20/pdfs/GMD-1817-139.pdf#page=8","Abrir facsímil")</f>
        <v>Abrir facsímil</v>
      </c>
      <c r="K2669" s="3" t="s">
        <v>29</v>
      </c>
    </row>
    <row r="2670" spans="1:11" ht="42" customHeight="1">
      <c r="A2670" s="2" t="s">
        <v>6383</v>
      </c>
      <c r="B2670" s="2" t="s">
        <v>6384</v>
      </c>
      <c r="C2670" s="2" t="s">
        <v>17</v>
      </c>
      <c r="D2670" s="2" t="s">
        <v>18</v>
      </c>
      <c r="E2670" s="5">
        <v>-30146</v>
      </c>
      <c r="F2670" s="3" t="s">
        <v>1005</v>
      </c>
      <c r="G2670" s="3" t="s">
        <v>1006</v>
      </c>
      <c r="H2670" s="2" t="s">
        <v>21</v>
      </c>
      <c r="I2670" s="2" t="s">
        <v>6385</v>
      </c>
      <c r="J2670" s="3" t="str">
        <f>HYPERLINK("https://www.boe.es/gazeta/dias/1817/06/17/pdfs/GMD-1817-72.pdf#page=8","Abrir facsímil")</f>
        <v>Abrir facsímil</v>
      </c>
      <c r="K2670" s="3" t="s">
        <v>23</v>
      </c>
    </row>
    <row r="2671" spans="1:11" ht="42" customHeight="1">
      <c r="A2671" s="2" t="s">
        <v>6386</v>
      </c>
      <c r="B2671" s="2" t="s">
        <v>6387</v>
      </c>
      <c r="C2671" s="2" t="s">
        <v>43</v>
      </c>
      <c r="D2671" s="2" t="s">
        <v>44</v>
      </c>
      <c r="E2671" s="5">
        <v>-30312</v>
      </c>
      <c r="F2671" s="3" t="s">
        <v>86</v>
      </c>
      <c r="G2671" s="3" t="s">
        <v>39</v>
      </c>
      <c r="H2671" s="2" t="s">
        <v>21</v>
      </c>
      <c r="I2671" s="2" t="s">
        <v>6388</v>
      </c>
      <c r="J2671" s="3" t="str">
        <f>HYPERLINK("https://www.boe.es/gazeta/dias/1817/01/02/pdfs/GMD-1817-1.pdf#page=5","Abrir facsímil")</f>
        <v>Abrir facsímil</v>
      </c>
      <c r="K2671" s="3" t="s">
        <v>23</v>
      </c>
    </row>
    <row r="2672" spans="1:11" ht="42" customHeight="1">
      <c r="A2672" s="2" t="s">
        <v>6389</v>
      </c>
      <c r="B2672" s="2" t="s">
        <v>6389</v>
      </c>
      <c r="C2672" s="2" t="s">
        <v>36</v>
      </c>
      <c r="D2672" s="2" t="s">
        <v>37</v>
      </c>
      <c r="E2672" s="5">
        <v>-30272</v>
      </c>
      <c r="F2672" s="3" t="s">
        <v>493</v>
      </c>
      <c r="G2672" s="3" t="s">
        <v>629</v>
      </c>
      <c r="H2672" s="2" t="s">
        <v>21</v>
      </c>
      <c r="I2672" s="2" t="s">
        <v>6390</v>
      </c>
      <c r="J2672" s="3" t="str">
        <f>HYPERLINK("https://www.boe.es/gazeta/dias/1817/02/11/pdfs/GMD-1817-18.pdf#page=2","Abrir facsímil")</f>
        <v>Abrir facsímil</v>
      </c>
      <c r="K2672" s="3" t="s">
        <v>23</v>
      </c>
    </row>
    <row r="2673" spans="1:11" ht="42" customHeight="1">
      <c r="A2673" s="2" t="s">
        <v>6391</v>
      </c>
      <c r="B2673" s="2" t="s">
        <v>6392</v>
      </c>
      <c r="C2673" s="2" t="s">
        <v>43</v>
      </c>
      <c r="D2673" s="2" t="s">
        <v>44</v>
      </c>
      <c r="E2673" s="5">
        <v>-30062</v>
      </c>
      <c r="F2673" s="3" t="s">
        <v>444</v>
      </c>
      <c r="G2673" s="3" t="s">
        <v>314</v>
      </c>
      <c r="H2673" s="2" t="s">
        <v>21</v>
      </c>
      <c r="I2673" s="2" t="s">
        <v>6393</v>
      </c>
      <c r="J2673" s="3" t="str">
        <f>HYPERLINK("https://www.boe.es/gazeta/dias/1817/09/09/pdfs/GMD-1817-108.pdf#page=10","Abrir facsímil")</f>
        <v>Abrir facsímil</v>
      </c>
      <c r="K2673" s="3" t="s">
        <v>23</v>
      </c>
    </row>
    <row r="2674" spans="1:11" ht="42" customHeight="1">
      <c r="A2674" s="2" t="s">
        <v>6394</v>
      </c>
      <c r="B2674" s="2" t="s">
        <v>6395</v>
      </c>
      <c r="C2674" s="2" t="s">
        <v>36</v>
      </c>
      <c r="D2674" s="2" t="s">
        <v>37</v>
      </c>
      <c r="E2674" s="5">
        <v>-30277</v>
      </c>
      <c r="F2674" s="3" t="s">
        <v>3822</v>
      </c>
      <c r="G2674" s="3" t="s">
        <v>77</v>
      </c>
      <c r="H2674" s="2" t="s">
        <v>21</v>
      </c>
      <c r="I2674" s="2" t="s">
        <v>6396</v>
      </c>
      <c r="J2674" s="3" t="str">
        <f>HYPERLINK("https://www.boe.es/gazeta/dias/1817/02/06/pdfs/GMD-1817-16.pdf#page=8","Abrir facsímil")</f>
        <v>Abrir facsímil</v>
      </c>
      <c r="K2674" s="3" t="s">
        <v>23</v>
      </c>
    </row>
    <row r="2675" spans="1:11" ht="42" customHeight="1">
      <c r="A2675" s="2" t="s">
        <v>6397</v>
      </c>
      <c r="B2675" s="2" t="s">
        <v>6398</v>
      </c>
      <c r="C2675" s="2" t="s">
        <v>43</v>
      </c>
      <c r="D2675" s="2" t="s">
        <v>44</v>
      </c>
      <c r="E2675" s="5">
        <v>-30167</v>
      </c>
      <c r="F2675" s="3" t="s">
        <v>153</v>
      </c>
      <c r="G2675" s="3" t="s">
        <v>144</v>
      </c>
      <c r="H2675" s="2" t="s">
        <v>21</v>
      </c>
      <c r="I2675" s="2" t="s">
        <v>6399</v>
      </c>
      <c r="J2675" s="3" t="str">
        <f>HYPERLINK("https://www.boe.es/gazeta/dias/1817/05/27/pdfs/GMD-1817-63.pdf#page=4","Abrir facsímil")</f>
        <v>Abrir facsímil</v>
      </c>
      <c r="K2675" s="3" t="s">
        <v>23</v>
      </c>
    </row>
    <row r="2676" spans="1:11" ht="42" customHeight="1">
      <c r="A2676" s="2" t="s">
        <v>6400</v>
      </c>
      <c r="B2676" s="2" t="s">
        <v>6401</v>
      </c>
      <c r="C2676" s="2" t="s">
        <v>49</v>
      </c>
      <c r="D2676" s="2" t="s">
        <v>44</v>
      </c>
      <c r="E2676" s="5">
        <v>-30027</v>
      </c>
      <c r="F2676" s="3" t="s">
        <v>173</v>
      </c>
      <c r="G2676" s="3" t="s">
        <v>77</v>
      </c>
      <c r="H2676" s="2" t="s">
        <v>21</v>
      </c>
      <c r="I2676" s="2" t="s">
        <v>6402</v>
      </c>
      <c r="J2676" s="3" t="str">
        <f>HYPERLINK("https://www.boe.es/gazeta/dias/1817/10/14/pdfs/GMD-1817-123.pdf#page=8","Abrir facsímil")</f>
        <v>Abrir facsímil</v>
      </c>
      <c r="K2676" s="3" t="s">
        <v>23</v>
      </c>
    </row>
    <row r="2677" spans="1:11" ht="42" customHeight="1">
      <c r="A2677" s="2" t="s">
        <v>6403</v>
      </c>
      <c r="B2677" s="2" t="s">
        <v>6404</v>
      </c>
      <c r="C2677" s="2" t="s">
        <v>55</v>
      </c>
      <c r="D2677" s="2" t="s">
        <v>44</v>
      </c>
      <c r="E2677" s="5">
        <v>-30254</v>
      </c>
      <c r="F2677" s="3" t="s">
        <v>124</v>
      </c>
      <c r="G2677" s="3" t="s">
        <v>125</v>
      </c>
      <c r="H2677" s="2" t="s">
        <v>21</v>
      </c>
      <c r="I2677" s="2" t="s">
        <v>6405</v>
      </c>
      <c r="J2677" s="3" t="str">
        <f>HYPERLINK("https://www.boe.es/gazeta/dias/1817/03/01/pdfs/GMD-1817-26.pdf#page=5","Abrir facsímil")</f>
        <v>Abrir facsímil</v>
      </c>
      <c r="K2677" s="3" t="s">
        <v>23</v>
      </c>
    </row>
    <row r="2678" spans="1:11" ht="42" customHeight="1">
      <c r="A2678" s="2" t="s">
        <v>6406</v>
      </c>
      <c r="B2678" s="2" t="s">
        <v>6407</v>
      </c>
      <c r="C2678" s="2" t="s">
        <v>36</v>
      </c>
      <c r="D2678" s="2" t="s">
        <v>37</v>
      </c>
      <c r="E2678" s="5">
        <v>-30137</v>
      </c>
      <c r="F2678" s="3" t="s">
        <v>935</v>
      </c>
      <c r="G2678" s="3" t="s">
        <v>20</v>
      </c>
      <c r="H2678" s="2" t="s">
        <v>21</v>
      </c>
      <c r="I2678" s="2" t="s">
        <v>6408</v>
      </c>
      <c r="J2678" s="3" t="str">
        <f>HYPERLINK("https://www.boe.es/gazeta/dias/1817/06/26/pdfs/GMD-1817-76.pdf#page=7","Abrir facsímil")</f>
        <v>Abrir facsímil</v>
      </c>
      <c r="K2678" s="3" t="s">
        <v>23</v>
      </c>
    </row>
    <row r="2679" spans="1:11" ht="42" customHeight="1">
      <c r="A2679" s="2" t="s">
        <v>6409</v>
      </c>
      <c r="B2679" s="2" t="s">
        <v>6410</v>
      </c>
      <c r="C2679" s="2" t="s">
        <v>138</v>
      </c>
      <c r="D2679" s="2" t="s">
        <v>44</v>
      </c>
      <c r="E2679" s="5">
        <v>-30114</v>
      </c>
      <c r="F2679" s="3" t="s">
        <v>500</v>
      </c>
      <c r="G2679" s="3" t="s">
        <v>20</v>
      </c>
      <c r="H2679" s="2" t="s">
        <v>21</v>
      </c>
      <c r="I2679" s="2" t="s">
        <v>6411</v>
      </c>
      <c r="J2679" s="3" t="str">
        <f>HYPERLINK("https://www.boe.es/gazeta/dias/1817/07/19/pdfs/GMD-1817-86.pdf#page=7","Abrir facsímil")</f>
        <v>Abrir facsímil</v>
      </c>
      <c r="K2679" s="3" t="s">
        <v>23</v>
      </c>
    </row>
    <row r="2680" spans="1:11" ht="42" customHeight="1">
      <c r="A2680" s="2" t="s">
        <v>6412</v>
      </c>
      <c r="B2680" s="2" t="s">
        <v>6412</v>
      </c>
      <c r="C2680" s="2" t="s">
        <v>43</v>
      </c>
      <c r="D2680" s="2" t="s">
        <v>44</v>
      </c>
      <c r="E2680" s="5">
        <v>-30251</v>
      </c>
      <c r="F2680" s="3" t="s">
        <v>2096</v>
      </c>
      <c r="G2680" s="3" t="s">
        <v>77</v>
      </c>
      <c r="H2680" s="2" t="s">
        <v>21</v>
      </c>
      <c r="I2680" s="2" t="s">
        <v>6413</v>
      </c>
      <c r="J2680" s="3" t="str">
        <f>HYPERLINK("https://www.boe.es/gazeta/dias/1817/03/04/pdfs/GMD-1817-27.pdf#page=8","Abrir facsímil")</f>
        <v>Abrir facsímil</v>
      </c>
      <c r="K2680" s="3" t="s">
        <v>23</v>
      </c>
    </row>
    <row r="2681" spans="1:11" ht="42" customHeight="1">
      <c r="A2681" s="2" t="s">
        <v>6414</v>
      </c>
      <c r="B2681" s="2" t="s">
        <v>6415</v>
      </c>
      <c r="C2681" s="2" t="s">
        <v>55</v>
      </c>
      <c r="D2681" s="2" t="s">
        <v>44</v>
      </c>
      <c r="E2681" s="5">
        <v>-30247</v>
      </c>
      <c r="F2681" s="3" t="s">
        <v>1796</v>
      </c>
      <c r="G2681" s="3" t="s">
        <v>39</v>
      </c>
      <c r="H2681" s="2" t="s">
        <v>21</v>
      </c>
      <c r="I2681" s="2" t="s">
        <v>6416</v>
      </c>
      <c r="J2681" s="3" t="str">
        <f>HYPERLINK("https://www.boe.es/gazeta/dias/1817/03/08/pdfs/GMD-1817-29.pdf#page=5","Abrir facsímil")</f>
        <v>Abrir facsímil</v>
      </c>
      <c r="K2681" s="3" t="s">
        <v>23</v>
      </c>
    </row>
    <row r="2682" spans="1:11" ht="42" customHeight="1">
      <c r="A2682" s="2" t="s">
        <v>6417</v>
      </c>
      <c r="B2682" s="2" t="s">
        <v>6417</v>
      </c>
      <c r="C2682" s="2" t="s">
        <v>36</v>
      </c>
      <c r="D2682" s="2" t="s">
        <v>37</v>
      </c>
      <c r="E2682" s="5">
        <v>-29957</v>
      </c>
      <c r="F2682" s="3" t="s">
        <v>1001</v>
      </c>
      <c r="G2682" s="3" t="s">
        <v>551</v>
      </c>
      <c r="H2682" s="2" t="s">
        <v>21</v>
      </c>
      <c r="I2682" s="2" t="s">
        <v>6418</v>
      </c>
      <c r="J2682" s="3" t="str">
        <f>HYPERLINK("https://www.boe.es/gazeta/dias/1817/12/23/pdfs/GMD-1817-153.pdf#page=3","Abrir facsímil")</f>
        <v>Abrir facsímil</v>
      </c>
      <c r="K2682" s="3" t="s">
        <v>23</v>
      </c>
    </row>
    <row r="2683" spans="1:11" ht="42" customHeight="1">
      <c r="A2683" s="2" t="s">
        <v>6419</v>
      </c>
      <c r="B2683" s="2" t="s">
        <v>6420</v>
      </c>
      <c r="C2683" s="2" t="s">
        <v>36</v>
      </c>
      <c r="D2683" s="2" t="s">
        <v>37</v>
      </c>
      <c r="E2683" s="5">
        <v>-30200</v>
      </c>
      <c r="F2683" s="3" t="s">
        <v>725</v>
      </c>
      <c r="G2683" s="3" t="s">
        <v>5817</v>
      </c>
      <c r="H2683" s="2" t="s">
        <v>21</v>
      </c>
      <c r="I2683" s="2" t="s">
        <v>6421</v>
      </c>
      <c r="J2683" s="3" t="str">
        <f>HYPERLINK("https://www.boe.es/gazeta/dias/1817/04/24/pdfs/GMD-1817-49.pdf#page=5","Abrir facsímil")</f>
        <v>Abrir facsímil</v>
      </c>
      <c r="K2683" s="3" t="s">
        <v>23</v>
      </c>
    </row>
    <row r="2684" spans="1:11" ht="42" customHeight="1">
      <c r="A2684" s="2" t="s">
        <v>6419</v>
      </c>
      <c r="B2684" s="2" t="s">
        <v>6420</v>
      </c>
      <c r="C2684" s="2" t="s">
        <v>36</v>
      </c>
      <c r="D2684" s="2" t="s">
        <v>37</v>
      </c>
      <c r="E2684" s="5">
        <v>-30200</v>
      </c>
      <c r="F2684" s="3" t="s">
        <v>725</v>
      </c>
      <c r="G2684" s="3" t="s">
        <v>57</v>
      </c>
      <c r="H2684" s="2" t="s">
        <v>21</v>
      </c>
      <c r="I2684" s="2" t="s">
        <v>6422</v>
      </c>
      <c r="J2684" s="3" t="str">
        <f>HYPERLINK("https://www.boe.es/gazeta/dias/1817/04/24/pdfs/GMD-1817-49.pdf#page=6","Abrir facsímil")</f>
        <v>Abrir facsímil</v>
      </c>
      <c r="K2684" s="3" t="s">
        <v>23</v>
      </c>
    </row>
    <row r="2685" spans="1:11" ht="42" customHeight="1">
      <c r="A2685" s="2" t="s">
        <v>6423</v>
      </c>
      <c r="B2685" s="2" t="s">
        <v>6423</v>
      </c>
      <c r="C2685" s="2" t="s">
        <v>36</v>
      </c>
      <c r="D2685" s="2" t="s">
        <v>37</v>
      </c>
      <c r="E2685" s="5">
        <v>-30139</v>
      </c>
      <c r="F2685" s="3" t="s">
        <v>993</v>
      </c>
      <c r="G2685" s="3" t="s">
        <v>551</v>
      </c>
      <c r="H2685" s="2" t="s">
        <v>21</v>
      </c>
      <c r="I2685" s="2" t="s">
        <v>6424</v>
      </c>
      <c r="J2685" s="3" t="str">
        <f>HYPERLINK("https://www.boe.es/gazeta/dias/1817/06/24/pdfs/GMD-1817-75.pdf#page=3","Abrir facsímil")</f>
        <v>Abrir facsímil</v>
      </c>
      <c r="K2685" s="3" t="s">
        <v>23</v>
      </c>
    </row>
    <row r="2686" spans="1:11" ht="42" customHeight="1">
      <c r="A2686" s="2" t="s">
        <v>6423</v>
      </c>
      <c r="B2686" s="2" t="s">
        <v>6423</v>
      </c>
      <c r="C2686" s="2" t="s">
        <v>36</v>
      </c>
      <c r="D2686" s="2" t="s">
        <v>37</v>
      </c>
      <c r="E2686" s="5">
        <v>-30135</v>
      </c>
      <c r="F2686" s="3" t="s">
        <v>239</v>
      </c>
      <c r="G2686" s="3" t="s">
        <v>2853</v>
      </c>
      <c r="H2686" s="2" t="s">
        <v>21</v>
      </c>
      <c r="I2686" s="2" t="s">
        <v>6425</v>
      </c>
      <c r="J2686" s="3" t="str">
        <f>HYPERLINK("https://www.boe.es/gazeta/dias/1817/06/28/pdfs/GMD-1817-77.pdf#page=6","Abrir facsímil")</f>
        <v>Abrir facsímil</v>
      </c>
      <c r="K2686" s="3" t="s">
        <v>23</v>
      </c>
    </row>
    <row r="2687" spans="1:11" ht="42" customHeight="1">
      <c r="A2687" s="2" t="s">
        <v>6423</v>
      </c>
      <c r="B2687" s="2" t="s">
        <v>6423</v>
      </c>
      <c r="C2687" s="2" t="s">
        <v>36</v>
      </c>
      <c r="D2687" s="2" t="s">
        <v>37</v>
      </c>
      <c r="E2687" s="5">
        <v>-30125</v>
      </c>
      <c r="F2687" s="3" t="s">
        <v>102</v>
      </c>
      <c r="G2687" s="3" t="s">
        <v>57</v>
      </c>
      <c r="H2687" s="2" t="s">
        <v>21</v>
      </c>
      <c r="I2687" s="2" t="s">
        <v>6426</v>
      </c>
      <c r="J2687" s="3" t="str">
        <f>HYPERLINK("https://www.boe.es/gazeta/dias/1817/07/08/pdfs/GMD-1817-81.pdf#page=6","Abrir facsímil")</f>
        <v>Abrir facsímil</v>
      </c>
      <c r="K2687" s="3" t="s">
        <v>23</v>
      </c>
    </row>
    <row r="2688" spans="1:11" ht="42" customHeight="1">
      <c r="A2688" s="2" t="s">
        <v>6423</v>
      </c>
      <c r="B2688" s="2" t="s">
        <v>6423</v>
      </c>
      <c r="C2688" s="2" t="s">
        <v>36</v>
      </c>
      <c r="D2688" s="2" t="s">
        <v>37</v>
      </c>
      <c r="E2688" s="5">
        <v>-30125</v>
      </c>
      <c r="F2688" s="3" t="s">
        <v>102</v>
      </c>
      <c r="G2688" s="3" t="s">
        <v>77</v>
      </c>
      <c r="H2688" s="2" t="s">
        <v>21</v>
      </c>
      <c r="I2688" s="2" t="s">
        <v>6427</v>
      </c>
      <c r="J2688" s="3" t="str">
        <f>HYPERLINK("https://www.boe.es/gazeta/dias/1817/07/08/pdfs/GMD-1817-81.pdf#page=8","Abrir facsímil")</f>
        <v>Abrir facsímil</v>
      </c>
      <c r="K2688" s="3" t="s">
        <v>23</v>
      </c>
    </row>
    <row r="2689" spans="1:11" ht="42" customHeight="1">
      <c r="A2689" s="2" t="s">
        <v>6423</v>
      </c>
      <c r="B2689" s="2" t="s">
        <v>6423</v>
      </c>
      <c r="C2689" s="2" t="s">
        <v>36</v>
      </c>
      <c r="D2689" s="2" t="s">
        <v>37</v>
      </c>
      <c r="E2689" s="5">
        <v>-30125</v>
      </c>
      <c r="F2689" s="3" t="s">
        <v>102</v>
      </c>
      <c r="G2689" s="3" t="s">
        <v>887</v>
      </c>
      <c r="H2689" s="2" t="s">
        <v>21</v>
      </c>
      <c r="I2689" s="2" t="s">
        <v>6428</v>
      </c>
      <c r="J2689" s="3" t="str">
        <f>HYPERLINK("https://www.boe.es/gazeta/dias/1817/07/08/pdfs/GMD-1817-81.pdf#page=9","Abrir facsímil")</f>
        <v>Abrir facsímil</v>
      </c>
      <c r="K2689" s="3" t="s">
        <v>23</v>
      </c>
    </row>
    <row r="2690" spans="1:11" ht="42" customHeight="1">
      <c r="A2690" s="2" t="s">
        <v>6423</v>
      </c>
      <c r="B2690" s="2" t="s">
        <v>6423</v>
      </c>
      <c r="C2690" s="2" t="s">
        <v>36</v>
      </c>
      <c r="D2690" s="2" t="s">
        <v>37</v>
      </c>
      <c r="E2690" s="5">
        <v>-29957</v>
      </c>
      <c r="F2690" s="3" t="s">
        <v>1001</v>
      </c>
      <c r="G2690" s="3" t="s">
        <v>551</v>
      </c>
      <c r="H2690" s="2" t="s">
        <v>21</v>
      </c>
      <c r="I2690" s="2" t="s">
        <v>6429</v>
      </c>
      <c r="J2690" s="3" t="str">
        <f>HYPERLINK("https://www.boe.es/gazeta/dias/1817/12/23/pdfs/GMD-1817-153.pdf#page=3","Abrir facsímil")</f>
        <v>Abrir facsímil</v>
      </c>
      <c r="K2690" s="3" t="s">
        <v>23</v>
      </c>
    </row>
    <row r="2691" spans="1:11" ht="42" customHeight="1">
      <c r="A2691" s="2" t="s">
        <v>6430</v>
      </c>
      <c r="B2691" s="2" t="s">
        <v>6431</v>
      </c>
      <c r="C2691" s="2" t="s">
        <v>36</v>
      </c>
      <c r="D2691" s="2" t="s">
        <v>37</v>
      </c>
      <c r="E2691" s="5">
        <v>-30165</v>
      </c>
      <c r="F2691" s="3" t="s">
        <v>2040</v>
      </c>
      <c r="G2691" s="3" t="s">
        <v>144</v>
      </c>
      <c r="H2691" s="2" t="s">
        <v>21</v>
      </c>
      <c r="I2691" s="2" t="s">
        <v>6432</v>
      </c>
      <c r="J2691" s="3" t="str">
        <f>HYPERLINK("https://www.boe.es/gazeta/dias/1817/05/29/pdfs/GMD-1817-64.pdf#page=4","Abrir facsímil")</f>
        <v>Abrir facsímil</v>
      </c>
      <c r="K2691" s="3" t="s">
        <v>23</v>
      </c>
    </row>
    <row r="2692" spans="1:11" ht="42" customHeight="1">
      <c r="A2692" s="2" t="s">
        <v>6430</v>
      </c>
      <c r="B2692" s="2" t="s">
        <v>6431</v>
      </c>
      <c r="C2692" s="2" t="s">
        <v>36</v>
      </c>
      <c r="D2692" s="2" t="s">
        <v>37</v>
      </c>
      <c r="E2692" s="5">
        <v>-30109</v>
      </c>
      <c r="F2692" s="3" t="s">
        <v>205</v>
      </c>
      <c r="G2692" s="3" t="s">
        <v>20</v>
      </c>
      <c r="H2692" s="2" t="s">
        <v>21</v>
      </c>
      <c r="I2692" s="2" t="s">
        <v>6433</v>
      </c>
      <c r="J2692" s="3" t="str">
        <f>HYPERLINK("https://www.boe.es/gazeta/dias/1817/07/24/pdfs/GMD-1817-88.pdf#page=7","Abrir facsímil")</f>
        <v>Abrir facsímil</v>
      </c>
      <c r="K2692" s="3" t="s">
        <v>23</v>
      </c>
    </row>
    <row r="2693" spans="1:11" ht="42" customHeight="1">
      <c r="A2693" s="2" t="s">
        <v>6430</v>
      </c>
      <c r="B2693" s="2" t="s">
        <v>6431</v>
      </c>
      <c r="C2693" s="2" t="s">
        <v>36</v>
      </c>
      <c r="D2693" s="2" t="s">
        <v>37</v>
      </c>
      <c r="E2693" s="5">
        <v>-30095</v>
      </c>
      <c r="F2693" s="3" t="s">
        <v>365</v>
      </c>
      <c r="G2693" s="3" t="s">
        <v>39</v>
      </c>
      <c r="H2693" s="2" t="s">
        <v>21</v>
      </c>
      <c r="I2693" s="2" t="s">
        <v>6434</v>
      </c>
      <c r="J2693" s="3" t="str">
        <f>HYPERLINK("https://www.boe.es/gazeta/dias/1817/08/07/pdfs/GMD-1817-94.pdf#page=5","Abrir facsímil")</f>
        <v>Abrir facsímil</v>
      </c>
      <c r="K2693" s="3" t="s">
        <v>23</v>
      </c>
    </row>
    <row r="2694" spans="1:11" ht="42" customHeight="1">
      <c r="A2694" s="2" t="s">
        <v>6430</v>
      </c>
      <c r="B2694" s="2" t="s">
        <v>6431</v>
      </c>
      <c r="C2694" s="2" t="s">
        <v>36</v>
      </c>
      <c r="D2694" s="2" t="s">
        <v>37</v>
      </c>
      <c r="E2694" s="5">
        <v>-30093</v>
      </c>
      <c r="F2694" s="3" t="s">
        <v>230</v>
      </c>
      <c r="G2694" s="3" t="s">
        <v>39</v>
      </c>
      <c r="H2694" s="2" t="s">
        <v>21</v>
      </c>
      <c r="I2694" s="2" t="s">
        <v>6435</v>
      </c>
      <c r="J2694" s="3" t="str">
        <f>HYPERLINK("https://www.boe.es/gazeta/dias/1817/08/09/pdfs/GMD-1817-95.pdf#page=5","Abrir facsímil")</f>
        <v>Abrir facsímil</v>
      </c>
      <c r="K2694" s="3" t="s">
        <v>23</v>
      </c>
    </row>
    <row r="2695" spans="1:11" ht="42" customHeight="1">
      <c r="A2695" s="2" t="s">
        <v>6430</v>
      </c>
      <c r="B2695" s="2" t="s">
        <v>6431</v>
      </c>
      <c r="C2695" s="2" t="s">
        <v>36</v>
      </c>
      <c r="D2695" s="2" t="s">
        <v>37</v>
      </c>
      <c r="E2695" s="5">
        <v>-30011</v>
      </c>
      <c r="F2695" s="3" t="s">
        <v>313</v>
      </c>
      <c r="G2695" s="3" t="s">
        <v>39</v>
      </c>
      <c r="H2695" s="2" t="s">
        <v>21</v>
      </c>
      <c r="I2695" s="2" t="s">
        <v>6436</v>
      </c>
      <c r="J2695" s="3" t="str">
        <f>HYPERLINK("https://www.boe.es/gazeta/dias/1817/10/30/pdfs/GMD-1817-130.pdf#page=5","Abrir facsímil")</f>
        <v>Abrir facsímil</v>
      </c>
      <c r="K2695" s="3" t="s">
        <v>23</v>
      </c>
    </row>
    <row r="2696" spans="1:11" ht="42" customHeight="1">
      <c r="A2696" s="2" t="s">
        <v>6430</v>
      </c>
      <c r="B2696" s="2" t="s">
        <v>6431</v>
      </c>
      <c r="C2696" s="2" t="s">
        <v>36</v>
      </c>
      <c r="D2696" s="2" t="s">
        <v>37</v>
      </c>
      <c r="E2696" s="5">
        <v>-30006</v>
      </c>
      <c r="F2696" s="3" t="s">
        <v>210</v>
      </c>
      <c r="G2696" s="3" t="s">
        <v>20</v>
      </c>
      <c r="H2696" s="2" t="s">
        <v>21</v>
      </c>
      <c r="I2696" s="2" t="s">
        <v>6437</v>
      </c>
      <c r="J2696" s="3" t="str">
        <f>HYPERLINK("https://www.boe.es/gazeta/dias/1817/11/04/pdfs/GMD-1817-132.pdf#page=7","Abrir facsímil")</f>
        <v>Abrir facsímil</v>
      </c>
      <c r="K2696" s="3" t="s">
        <v>23</v>
      </c>
    </row>
    <row r="2697" spans="1:11" ht="42" customHeight="1">
      <c r="A2697" s="2" t="s">
        <v>6430</v>
      </c>
      <c r="B2697" s="2" t="s">
        <v>6431</v>
      </c>
      <c r="C2697" s="2" t="s">
        <v>36</v>
      </c>
      <c r="D2697" s="2" t="s">
        <v>37</v>
      </c>
      <c r="E2697" s="5">
        <v>-29957</v>
      </c>
      <c r="F2697" s="3" t="s">
        <v>1001</v>
      </c>
      <c r="G2697" s="3" t="s">
        <v>20</v>
      </c>
      <c r="H2697" s="2" t="s">
        <v>21</v>
      </c>
      <c r="I2697" s="2" t="s">
        <v>6438</v>
      </c>
      <c r="J2697" s="3" t="str">
        <f>HYPERLINK("https://www.boe.es/gazeta/dias/1817/12/23/pdfs/GMD-1817-153.pdf#page=7","Abrir facsímil")</f>
        <v>Abrir facsímil</v>
      </c>
      <c r="K2697" s="3" t="s">
        <v>23</v>
      </c>
    </row>
    <row r="2698" spans="1:11" ht="42" customHeight="1">
      <c r="A2698" s="2" t="s">
        <v>6439</v>
      </c>
      <c r="B2698" s="2" t="s">
        <v>6439</v>
      </c>
      <c r="C2698" s="2" t="s">
        <v>510</v>
      </c>
      <c r="D2698" s="2" t="s">
        <v>44</v>
      </c>
      <c r="E2698" s="5">
        <v>-30258</v>
      </c>
      <c r="F2698" s="3" t="s">
        <v>234</v>
      </c>
      <c r="G2698" s="3" t="s">
        <v>72</v>
      </c>
      <c r="H2698" s="2" t="s">
        <v>21</v>
      </c>
      <c r="I2698" s="2" t="s">
        <v>6440</v>
      </c>
      <c r="J2698" s="3" t="str">
        <f>HYPERLINK("https://www.boe.es/gazeta/dias/1817/02/25/pdfs/GMD-1817-24.pdf#page=1","Abrir facsímil")</f>
        <v>Abrir facsímil</v>
      </c>
      <c r="K2698" s="3" t="s">
        <v>23</v>
      </c>
    </row>
    <row r="2699" spans="1:11" ht="42" customHeight="1">
      <c r="A2699" s="2" t="s">
        <v>6441</v>
      </c>
      <c r="B2699" s="2" t="s">
        <v>6442</v>
      </c>
      <c r="C2699" s="2" t="s">
        <v>55</v>
      </c>
      <c r="D2699" s="2" t="s">
        <v>44</v>
      </c>
      <c r="E2699" s="5">
        <v>-30268</v>
      </c>
      <c r="F2699" s="3" t="s">
        <v>1160</v>
      </c>
      <c r="G2699" s="3" t="s">
        <v>39</v>
      </c>
      <c r="H2699" s="2" t="s">
        <v>21</v>
      </c>
      <c r="I2699" s="2" t="s">
        <v>6443</v>
      </c>
      <c r="J2699" s="3" t="str">
        <f>HYPERLINK("https://www.boe.es/gazeta/dias/1817/02/15/pdfs/GMD-1817-20.pdf#page=5","Abrir facsímil")</f>
        <v>Abrir facsímil</v>
      </c>
      <c r="K2699" s="3" t="s">
        <v>23</v>
      </c>
    </row>
    <row r="2700" spans="1:11" ht="42" customHeight="1">
      <c r="A2700" s="2" t="s">
        <v>6444</v>
      </c>
      <c r="B2700" s="2" t="s">
        <v>6445</v>
      </c>
      <c r="C2700" s="2" t="s">
        <v>43</v>
      </c>
      <c r="D2700" s="2" t="s">
        <v>44</v>
      </c>
      <c r="E2700" s="5">
        <v>-30254</v>
      </c>
      <c r="F2700" s="3" t="s">
        <v>124</v>
      </c>
      <c r="G2700" s="3" t="s">
        <v>3053</v>
      </c>
      <c r="H2700" s="2" t="s">
        <v>21</v>
      </c>
      <c r="I2700" s="2" t="s">
        <v>6446</v>
      </c>
      <c r="J2700" s="3" t="str">
        <f>HYPERLINK("https://www.boe.es/gazeta/dias/1817/03/01/pdfs/GMD-1817-26.pdf#page=8","Abrir facsímil")</f>
        <v>Abrir facsímil</v>
      </c>
      <c r="K2700" s="3" t="s">
        <v>23</v>
      </c>
    </row>
    <row r="2701" spans="1:11" ht="42" customHeight="1">
      <c r="A2701" s="2" t="s">
        <v>6447</v>
      </c>
      <c r="B2701" s="2" t="s">
        <v>6448</v>
      </c>
      <c r="C2701" s="2" t="s">
        <v>43</v>
      </c>
      <c r="D2701" s="2" t="s">
        <v>44</v>
      </c>
      <c r="E2701" s="5">
        <v>-29955</v>
      </c>
      <c r="F2701" s="3" t="s">
        <v>805</v>
      </c>
      <c r="G2701" s="3" t="s">
        <v>57</v>
      </c>
      <c r="H2701" s="2" t="s">
        <v>27</v>
      </c>
      <c r="I2701" s="2" t="s">
        <v>6449</v>
      </c>
      <c r="J2701" s="3" t="str">
        <f>HYPERLINK("https://www.boe.es/gazeta/dias/1817/12/25/pdfs/GMD-1817-154.pdf#page=6","Abrir facsímil")</f>
        <v>Abrir facsímil</v>
      </c>
      <c r="K2701" s="3" t="s">
        <v>29</v>
      </c>
    </row>
    <row r="2702" spans="1:11" ht="42" customHeight="1">
      <c r="A2702" s="2" t="s">
        <v>6450</v>
      </c>
      <c r="B2702" s="2" t="s">
        <v>6451</v>
      </c>
      <c r="C2702" s="2" t="s">
        <v>36</v>
      </c>
      <c r="D2702" s="2" t="s">
        <v>37</v>
      </c>
      <c r="E2702" s="5">
        <v>-30233</v>
      </c>
      <c r="F2702" s="3" t="s">
        <v>577</v>
      </c>
      <c r="G2702" s="3" t="s">
        <v>20</v>
      </c>
      <c r="H2702" s="2" t="s">
        <v>21</v>
      </c>
      <c r="I2702" s="2" t="s">
        <v>6452</v>
      </c>
      <c r="J2702" s="3" t="str">
        <f>HYPERLINK("https://www.boe.es/gazeta/dias/1817/03/22/pdfs/GMD-1817-35.pdf#page=7","Abrir facsímil")</f>
        <v>Abrir facsímil</v>
      </c>
      <c r="K2702" s="3" t="s">
        <v>23</v>
      </c>
    </row>
    <row r="2703" spans="1:11" ht="42" customHeight="1">
      <c r="A2703" s="2" t="s">
        <v>6453</v>
      </c>
      <c r="B2703" s="2" t="s">
        <v>6454</v>
      </c>
      <c r="C2703" s="2" t="s">
        <v>43</v>
      </c>
      <c r="D2703" s="2" t="s">
        <v>44</v>
      </c>
      <c r="E2703" s="5">
        <v>-30013</v>
      </c>
      <c r="F2703" s="3" t="s">
        <v>464</v>
      </c>
      <c r="G2703" s="3" t="s">
        <v>39</v>
      </c>
      <c r="H2703" s="2" t="s">
        <v>21</v>
      </c>
      <c r="I2703" s="2" t="s">
        <v>6455</v>
      </c>
      <c r="J2703" s="3" t="str">
        <f>HYPERLINK("https://www.boe.es/gazeta/dias/1817/10/28/pdfs/GMD-1817-129.pdf#page=5","Abrir facsímil")</f>
        <v>Abrir facsímil</v>
      </c>
      <c r="K2703" s="3" t="s">
        <v>23</v>
      </c>
    </row>
    <row r="2704" spans="1:11" ht="42" customHeight="1">
      <c r="A2704" s="2" t="s">
        <v>6456</v>
      </c>
      <c r="B2704" s="2" t="s">
        <v>6457</v>
      </c>
      <c r="C2704" s="2" t="s">
        <v>43</v>
      </c>
      <c r="D2704" s="2" t="s">
        <v>44</v>
      </c>
      <c r="E2704" s="5">
        <v>-30013</v>
      </c>
      <c r="F2704" s="3" t="s">
        <v>464</v>
      </c>
      <c r="G2704" s="3" t="s">
        <v>39</v>
      </c>
      <c r="H2704" s="2" t="s">
        <v>21</v>
      </c>
      <c r="I2704" s="2" t="s">
        <v>6458</v>
      </c>
      <c r="J2704" s="3" t="str">
        <f>HYPERLINK("https://www.boe.es/gazeta/dias/1817/10/28/pdfs/GMD-1817-129.pdf#page=5","Abrir facsímil")</f>
        <v>Abrir facsímil</v>
      </c>
      <c r="K2704" s="3" t="s">
        <v>23</v>
      </c>
    </row>
    <row r="2705" spans="1:11" ht="42" customHeight="1">
      <c r="A2705" s="2" t="s">
        <v>6459</v>
      </c>
      <c r="B2705" s="2" t="s">
        <v>6460</v>
      </c>
      <c r="C2705" s="2" t="s">
        <v>36</v>
      </c>
      <c r="D2705" s="2" t="s">
        <v>37</v>
      </c>
      <c r="E2705" s="5">
        <v>-30223</v>
      </c>
      <c r="F2705" s="3" t="s">
        <v>627</v>
      </c>
      <c r="G2705" s="3" t="s">
        <v>57</v>
      </c>
      <c r="H2705" s="2" t="s">
        <v>21</v>
      </c>
      <c r="I2705" s="2" t="s">
        <v>6461</v>
      </c>
      <c r="J2705" s="3" t="str">
        <f>HYPERLINK("https://www.boe.es/gazeta/dias/1817/04/01/pdfs/GMD-1817-39.pdf#page=6","Abrir facsímil")</f>
        <v>Abrir facsímil</v>
      </c>
      <c r="K2705" s="3" t="s">
        <v>23</v>
      </c>
    </row>
    <row r="2706" spans="1:11" ht="42" customHeight="1">
      <c r="A2706" s="2" t="s">
        <v>6459</v>
      </c>
      <c r="B2706" s="2" t="s">
        <v>6460</v>
      </c>
      <c r="C2706" s="2" t="s">
        <v>36</v>
      </c>
      <c r="D2706" s="2" t="s">
        <v>37</v>
      </c>
      <c r="E2706" s="5">
        <v>-30109</v>
      </c>
      <c r="F2706" s="3" t="s">
        <v>205</v>
      </c>
      <c r="G2706" s="3" t="s">
        <v>887</v>
      </c>
      <c r="H2706" s="2" t="s">
        <v>21</v>
      </c>
      <c r="I2706" s="2" t="s">
        <v>6462</v>
      </c>
      <c r="J2706" s="3" t="str">
        <f>HYPERLINK("https://www.boe.es/gazeta/dias/1817/07/24/pdfs/GMD-1817-88.pdf#page=9","Abrir facsímil")</f>
        <v>Abrir facsímil</v>
      </c>
      <c r="K2706" s="3" t="s">
        <v>23</v>
      </c>
    </row>
    <row r="2707" spans="1:11" ht="42" customHeight="1">
      <c r="A2707" s="2" t="s">
        <v>6463</v>
      </c>
      <c r="B2707" s="2" t="s">
        <v>6464</v>
      </c>
      <c r="C2707" s="2" t="s">
        <v>36</v>
      </c>
      <c r="D2707" s="2" t="s">
        <v>37</v>
      </c>
      <c r="E2707" s="5">
        <v>-30006</v>
      </c>
      <c r="F2707" s="3" t="s">
        <v>210</v>
      </c>
      <c r="G2707" s="3" t="s">
        <v>863</v>
      </c>
      <c r="H2707" s="2" t="s">
        <v>21</v>
      </c>
      <c r="I2707" s="2" t="s">
        <v>6465</v>
      </c>
      <c r="J2707" s="3" t="str">
        <f>HYPERLINK("https://www.boe.es/gazeta/dias/1817/11/04/pdfs/GMD-1817-132.pdf#page=4","Abrir facsímil")</f>
        <v>Abrir facsímil</v>
      </c>
      <c r="K2707" s="3" t="s">
        <v>23</v>
      </c>
    </row>
    <row r="2708" spans="1:11" ht="42" customHeight="1">
      <c r="A2708" s="2" t="s">
        <v>6466</v>
      </c>
      <c r="B2708" s="2" t="s">
        <v>6467</v>
      </c>
      <c r="C2708" s="2" t="s">
        <v>36</v>
      </c>
      <c r="D2708" s="2" t="s">
        <v>37</v>
      </c>
      <c r="E2708" s="5">
        <v>-30188</v>
      </c>
      <c r="F2708" s="3" t="s">
        <v>177</v>
      </c>
      <c r="G2708" s="3" t="s">
        <v>39</v>
      </c>
      <c r="H2708" s="2" t="s">
        <v>21</v>
      </c>
      <c r="I2708" s="2" t="s">
        <v>6468</v>
      </c>
      <c r="J2708" s="3" t="str">
        <f>HYPERLINK("https://www.boe.es/gazeta/dias/1817/05/06/pdfs/GMD-1817-54.pdf#page=5","Abrir facsímil")</f>
        <v>Abrir facsímil</v>
      </c>
      <c r="K2708" s="3" t="s">
        <v>23</v>
      </c>
    </row>
    <row r="2709" spans="1:11" ht="42" customHeight="1">
      <c r="A2709" s="2" t="s">
        <v>6469</v>
      </c>
      <c r="B2709" s="2" t="s">
        <v>6470</v>
      </c>
      <c r="C2709" s="2" t="s">
        <v>17</v>
      </c>
      <c r="D2709" s="2" t="s">
        <v>18</v>
      </c>
      <c r="E2709" s="5">
        <v>-30233</v>
      </c>
      <c r="F2709" s="3" t="s">
        <v>577</v>
      </c>
      <c r="G2709" s="3" t="s">
        <v>578</v>
      </c>
      <c r="H2709" s="2" t="s">
        <v>21</v>
      </c>
      <c r="I2709" s="2" t="s">
        <v>6471</v>
      </c>
      <c r="J2709" s="3" t="str">
        <f>HYPERLINK("https://www.boe.es/gazeta/dias/1817/03/22/pdfs/GMD-1817-35.pdf#page=8","Abrir facsímil")</f>
        <v>Abrir facsímil</v>
      </c>
      <c r="K2709" s="3" t="s">
        <v>23</v>
      </c>
    </row>
    <row r="2710" spans="1:11" ht="42" customHeight="1">
      <c r="A2710" s="2" t="s">
        <v>6469</v>
      </c>
      <c r="B2710" s="2" t="s">
        <v>6470</v>
      </c>
      <c r="C2710" s="2" t="s">
        <v>49</v>
      </c>
      <c r="D2710" s="2" t="s">
        <v>44</v>
      </c>
      <c r="E2710" s="5">
        <v>-30132</v>
      </c>
      <c r="F2710" s="3" t="s">
        <v>718</v>
      </c>
      <c r="G2710" s="3" t="s">
        <v>77</v>
      </c>
      <c r="H2710" s="2" t="s">
        <v>21</v>
      </c>
      <c r="I2710" s="2" t="s">
        <v>6472</v>
      </c>
      <c r="J2710" s="3" t="str">
        <f>HYPERLINK("https://www.boe.es/gazeta/dias/1817/07/01/pdfs/GMD-1817-78.pdf#page=8","Abrir facsímil")</f>
        <v>Abrir facsímil</v>
      </c>
      <c r="K2710" s="3" t="s">
        <v>23</v>
      </c>
    </row>
    <row r="2711" spans="1:11" ht="42" customHeight="1">
      <c r="A2711" s="2" t="s">
        <v>6473</v>
      </c>
      <c r="B2711" s="2" t="s">
        <v>6474</v>
      </c>
      <c r="C2711" s="2" t="s">
        <v>17</v>
      </c>
      <c r="D2711" s="2" t="s">
        <v>18</v>
      </c>
      <c r="E2711" s="5">
        <v>-30123</v>
      </c>
      <c r="F2711" s="3" t="s">
        <v>848</v>
      </c>
      <c r="G2711" s="3" t="s">
        <v>3877</v>
      </c>
      <c r="H2711" s="2" t="s">
        <v>21</v>
      </c>
      <c r="I2711" s="2" t="s">
        <v>6475</v>
      </c>
      <c r="J2711" s="3" t="str">
        <f>HYPERLINK("https://www.boe.es/gazeta/dias/1817/07/10/pdfs/GMD-1817-82.pdf#page=8","Abrir facsímil")</f>
        <v>Abrir facsímil</v>
      </c>
      <c r="K2711" s="3" t="s">
        <v>23</v>
      </c>
    </row>
    <row r="2712" spans="1:11" ht="42" customHeight="1">
      <c r="A2712" s="2" t="s">
        <v>6469</v>
      </c>
      <c r="B2712" s="2" t="s">
        <v>6470</v>
      </c>
      <c r="C2712" s="2" t="s">
        <v>36</v>
      </c>
      <c r="D2712" s="2" t="s">
        <v>37</v>
      </c>
      <c r="E2712" s="5">
        <v>-30109</v>
      </c>
      <c r="F2712" s="3" t="s">
        <v>205</v>
      </c>
      <c r="G2712" s="3" t="s">
        <v>282</v>
      </c>
      <c r="H2712" s="2" t="s">
        <v>21</v>
      </c>
      <c r="I2712" s="2" t="s">
        <v>6476</v>
      </c>
      <c r="J2712" s="3" t="str">
        <f>HYPERLINK("https://www.boe.es/gazeta/dias/1817/07/24/pdfs/GMD-1817-88.pdf#page=15","Abrir facsímil")</f>
        <v>Abrir facsímil</v>
      </c>
      <c r="K2712" s="3" t="s">
        <v>23</v>
      </c>
    </row>
    <row r="2713" spans="1:11" ht="42" customHeight="1">
      <c r="A2713" s="2" t="s">
        <v>6477</v>
      </c>
      <c r="B2713" s="2" t="s">
        <v>6478</v>
      </c>
      <c r="C2713" s="2" t="s">
        <v>43</v>
      </c>
      <c r="D2713" s="2" t="s">
        <v>44</v>
      </c>
      <c r="E2713" s="5">
        <v>-30312</v>
      </c>
      <c r="F2713" s="3" t="s">
        <v>86</v>
      </c>
      <c r="G2713" s="3" t="s">
        <v>39</v>
      </c>
      <c r="H2713" s="2" t="s">
        <v>21</v>
      </c>
      <c r="I2713" s="2" t="s">
        <v>6479</v>
      </c>
      <c r="J2713" s="3" t="str">
        <f>HYPERLINK("https://www.boe.es/gazeta/dias/1817/01/02/pdfs/GMD-1817-1.pdf#page=5","Abrir facsímil")</f>
        <v>Abrir facsímil</v>
      </c>
      <c r="K2713" s="3" t="s">
        <v>23</v>
      </c>
    </row>
    <row r="2714" spans="1:11" ht="42" customHeight="1">
      <c r="A2714" s="2" t="s">
        <v>6480</v>
      </c>
      <c r="B2714" s="2" t="s">
        <v>6481</v>
      </c>
      <c r="C2714" s="2" t="s">
        <v>55</v>
      </c>
      <c r="D2714" s="2" t="s">
        <v>44</v>
      </c>
      <c r="E2714" s="5">
        <v>-30312</v>
      </c>
      <c r="F2714" s="3" t="s">
        <v>86</v>
      </c>
      <c r="G2714" s="3" t="s">
        <v>87</v>
      </c>
      <c r="H2714" s="2" t="s">
        <v>21</v>
      </c>
      <c r="I2714" s="2" t="s">
        <v>6482</v>
      </c>
      <c r="J2714" s="3" t="str">
        <f>HYPERLINK("https://www.boe.es/gazeta/dias/1817/01/02/pdfs/GMD-1817-1.pdf#page=4","Abrir facsímil")</f>
        <v>Abrir facsímil</v>
      </c>
      <c r="K2714" s="3" t="s">
        <v>23</v>
      </c>
    </row>
    <row r="2715" spans="1:11" ht="42" customHeight="1">
      <c r="A2715" s="2" t="s">
        <v>6483</v>
      </c>
      <c r="B2715" s="2" t="s">
        <v>6483</v>
      </c>
      <c r="C2715" s="2" t="s">
        <v>510</v>
      </c>
      <c r="D2715" s="2" t="s">
        <v>44</v>
      </c>
      <c r="E2715" s="5">
        <v>-30312</v>
      </c>
      <c r="F2715" s="3" t="s">
        <v>86</v>
      </c>
      <c r="G2715" s="3" t="s">
        <v>551</v>
      </c>
      <c r="H2715" s="2" t="s">
        <v>21</v>
      </c>
      <c r="I2715" s="2" t="s">
        <v>6484</v>
      </c>
      <c r="J2715" s="3" t="str">
        <f>HYPERLINK("https://www.boe.es/gazeta/dias/1817/01/02/pdfs/GMD-1817-1.pdf#page=3","Abrir facsímil")</f>
        <v>Abrir facsímil</v>
      </c>
      <c r="K2715" s="3" t="s">
        <v>23</v>
      </c>
    </row>
    <row r="2716" spans="1:11" ht="42" customHeight="1">
      <c r="A2716" s="2" t="s">
        <v>6483</v>
      </c>
      <c r="B2716" s="2" t="s">
        <v>6483</v>
      </c>
      <c r="C2716" s="2" t="s">
        <v>43</v>
      </c>
      <c r="D2716" s="2" t="s">
        <v>44</v>
      </c>
      <c r="E2716" s="5">
        <v>-30228</v>
      </c>
      <c r="F2716" s="3" t="s">
        <v>383</v>
      </c>
      <c r="G2716" s="3" t="s">
        <v>551</v>
      </c>
      <c r="H2716" s="2" t="s">
        <v>21</v>
      </c>
      <c r="I2716" s="2" t="s">
        <v>6485</v>
      </c>
      <c r="J2716" s="3" t="str">
        <f>HYPERLINK("https://www.boe.es/gazeta/dias/1817/03/27/pdfs/GMD-1817-37.pdf#page=3","Abrir facsímil")</f>
        <v>Abrir facsímil</v>
      </c>
      <c r="K2716" s="3" t="s">
        <v>23</v>
      </c>
    </row>
    <row r="2717" spans="1:11" ht="42" customHeight="1">
      <c r="A2717" s="2" t="s">
        <v>6483</v>
      </c>
      <c r="B2717" s="2" t="s">
        <v>6483</v>
      </c>
      <c r="C2717" s="2" t="s">
        <v>36</v>
      </c>
      <c r="D2717" s="2" t="s">
        <v>37</v>
      </c>
      <c r="E2717" s="5">
        <v>-30209</v>
      </c>
      <c r="F2717" s="3" t="s">
        <v>1478</v>
      </c>
      <c r="G2717" s="3" t="s">
        <v>2452</v>
      </c>
      <c r="H2717" s="2" t="s">
        <v>21</v>
      </c>
      <c r="I2717" s="2" t="s">
        <v>6486</v>
      </c>
      <c r="J2717" s="3" t="str">
        <f>HYPERLINK("https://www.boe.es/gazeta/dias/1817/04/15/pdfs/GMD-1817-45.pdf#page=4","Abrir facsímil")</f>
        <v>Abrir facsímil</v>
      </c>
      <c r="K2717" s="3" t="s">
        <v>23</v>
      </c>
    </row>
    <row r="2718" spans="1:11" ht="42" customHeight="1">
      <c r="A2718" s="2" t="s">
        <v>6483</v>
      </c>
      <c r="B2718" s="2" t="s">
        <v>6483</v>
      </c>
      <c r="C2718" s="2" t="s">
        <v>36</v>
      </c>
      <c r="D2718" s="2" t="s">
        <v>37</v>
      </c>
      <c r="E2718" s="5">
        <v>-30002</v>
      </c>
      <c r="F2718" s="3" t="s">
        <v>469</v>
      </c>
      <c r="G2718" s="3" t="s">
        <v>629</v>
      </c>
      <c r="H2718" s="2" t="s">
        <v>21</v>
      </c>
      <c r="I2718" s="2" t="s">
        <v>6487</v>
      </c>
      <c r="J2718" s="3" t="str">
        <f>HYPERLINK("https://www.boe.es/gazeta/dias/1817/11/08/pdfs/GMD-1817-134.pdf#page=2","Abrir facsímil")</f>
        <v>Abrir facsímil</v>
      </c>
      <c r="K2718" s="3" t="s">
        <v>23</v>
      </c>
    </row>
    <row r="2719" spans="1:11" ht="42" customHeight="1">
      <c r="A2719" s="2" t="s">
        <v>6483</v>
      </c>
      <c r="B2719" s="2" t="s">
        <v>6483</v>
      </c>
      <c r="C2719" s="2" t="s">
        <v>17</v>
      </c>
      <c r="D2719" s="2" t="s">
        <v>18</v>
      </c>
      <c r="E2719" s="5">
        <v>-29971</v>
      </c>
      <c r="F2719" s="3" t="s">
        <v>517</v>
      </c>
      <c r="G2719" s="3" t="s">
        <v>72</v>
      </c>
      <c r="H2719" s="2" t="s">
        <v>21</v>
      </c>
      <c r="I2719" s="2" t="s">
        <v>6488</v>
      </c>
      <c r="J2719" s="3" t="str">
        <f>HYPERLINK("https://www.boe.es/gazeta/dias/1817/12/09/pdfs/GMD-1817-147.pdf#page=1","Abrir facsímil")</f>
        <v>Abrir facsímil</v>
      </c>
      <c r="K2719" s="3" t="s">
        <v>23</v>
      </c>
    </row>
    <row r="2720" spans="1:11" ht="42" customHeight="1">
      <c r="A2720" s="2" t="s">
        <v>6489</v>
      </c>
      <c r="B2720" s="2" t="s">
        <v>6490</v>
      </c>
      <c r="C2720" s="2" t="s">
        <v>510</v>
      </c>
      <c r="D2720" s="2" t="s">
        <v>44</v>
      </c>
      <c r="E2720" s="5">
        <v>-30137</v>
      </c>
      <c r="F2720" s="3" t="s">
        <v>935</v>
      </c>
      <c r="G2720" s="3" t="s">
        <v>72</v>
      </c>
      <c r="H2720" s="2" t="s">
        <v>27</v>
      </c>
      <c r="I2720" s="2" t="s">
        <v>6491</v>
      </c>
      <c r="J2720" s="3" t="str">
        <f>HYPERLINK("https://www.boe.es/gazeta/dias/1817/06/26/pdfs/GMD-1817-76.pdf#page=1","Abrir facsímil")</f>
        <v>Abrir facsímil</v>
      </c>
      <c r="K2720" s="3" t="s">
        <v>29</v>
      </c>
    </row>
    <row r="2721" spans="1:11" ht="42" customHeight="1">
      <c r="A2721" s="2" t="s">
        <v>6492</v>
      </c>
      <c r="B2721" s="2" t="s">
        <v>6493</v>
      </c>
      <c r="C2721" s="2" t="s">
        <v>55</v>
      </c>
      <c r="D2721" s="2" t="s">
        <v>44</v>
      </c>
      <c r="E2721" s="5">
        <v>-30058</v>
      </c>
      <c r="F2721" s="3" t="s">
        <v>1385</v>
      </c>
      <c r="G2721" s="3" t="s">
        <v>57</v>
      </c>
      <c r="H2721" s="2" t="s">
        <v>21</v>
      </c>
      <c r="I2721" s="2" t="s">
        <v>6494</v>
      </c>
      <c r="J2721" s="3" t="str">
        <f>HYPERLINK("https://www.boe.es/gazeta/dias/1817/09/13/pdfs/GMD-1817-110.pdf#page=6","Abrir facsímil")</f>
        <v>Abrir facsímil</v>
      </c>
      <c r="K2721" s="3" t="s">
        <v>23</v>
      </c>
    </row>
    <row r="2722" spans="1:11" ht="42" customHeight="1">
      <c r="A2722" s="2" t="s">
        <v>6495</v>
      </c>
      <c r="B2722" s="2" t="s">
        <v>6496</v>
      </c>
      <c r="C2722" s="2" t="s">
        <v>36</v>
      </c>
      <c r="D2722" s="2" t="s">
        <v>37</v>
      </c>
      <c r="E2722" s="5">
        <v>-30151</v>
      </c>
      <c r="F2722" s="3" t="s">
        <v>1422</v>
      </c>
      <c r="G2722" s="3" t="s">
        <v>39</v>
      </c>
      <c r="H2722" s="2" t="s">
        <v>21</v>
      </c>
      <c r="I2722" s="2" t="s">
        <v>6497</v>
      </c>
      <c r="J2722" s="3" t="str">
        <f>HYPERLINK("https://www.boe.es/gazeta/dias/1817/06/12/pdfs/GMD-1817-70.pdf#page=5","Abrir facsímil")</f>
        <v>Abrir facsímil</v>
      </c>
      <c r="K2722" s="3" t="s">
        <v>23</v>
      </c>
    </row>
    <row r="2723" spans="1:11" ht="42" customHeight="1">
      <c r="A2723" s="2" t="s">
        <v>6498</v>
      </c>
      <c r="B2723" s="2" t="s">
        <v>6499</v>
      </c>
      <c r="C2723" s="2" t="s">
        <v>36</v>
      </c>
      <c r="D2723" s="2" t="s">
        <v>37</v>
      </c>
      <c r="E2723" s="5">
        <v>-30268</v>
      </c>
      <c r="F2723" s="3" t="s">
        <v>1160</v>
      </c>
      <c r="G2723" s="3" t="s">
        <v>39</v>
      </c>
      <c r="H2723" s="2" t="s">
        <v>21</v>
      </c>
      <c r="I2723" s="2" t="s">
        <v>6500</v>
      </c>
      <c r="J2723" s="3" t="str">
        <f>HYPERLINK("https://www.boe.es/gazeta/dias/1817/02/15/pdfs/GMD-1817-20.pdf#page=5","Abrir facsímil")</f>
        <v>Abrir facsímil</v>
      </c>
      <c r="K2723" s="3" t="s">
        <v>23</v>
      </c>
    </row>
    <row r="2724" spans="1:11" ht="42" customHeight="1">
      <c r="A2724" s="2" t="s">
        <v>6501</v>
      </c>
      <c r="B2724" s="2" t="s">
        <v>6501</v>
      </c>
      <c r="C2724" s="2" t="s">
        <v>36</v>
      </c>
      <c r="D2724" s="2" t="s">
        <v>37</v>
      </c>
      <c r="E2724" s="5">
        <v>-30093</v>
      </c>
      <c r="F2724" s="3" t="s">
        <v>230</v>
      </c>
      <c r="G2724" s="3" t="s">
        <v>551</v>
      </c>
      <c r="H2724" s="2" t="s">
        <v>21</v>
      </c>
      <c r="I2724" s="2" t="s">
        <v>6502</v>
      </c>
      <c r="J2724" s="3" t="str">
        <f>HYPERLINK("https://www.boe.es/gazeta/dias/1817/08/09/pdfs/GMD-1817-95.pdf#page=3","Abrir facsímil")</f>
        <v>Abrir facsímil</v>
      </c>
      <c r="K2724" s="3" t="s">
        <v>23</v>
      </c>
    </row>
    <row r="2725" spans="1:11" ht="42" customHeight="1">
      <c r="A2725" s="2" t="s">
        <v>6503</v>
      </c>
      <c r="B2725" s="2" t="s">
        <v>6503</v>
      </c>
      <c r="C2725" s="2" t="s">
        <v>36</v>
      </c>
      <c r="D2725" s="2" t="s">
        <v>37</v>
      </c>
      <c r="E2725" s="5">
        <v>-30123</v>
      </c>
      <c r="F2725" s="3" t="s">
        <v>848</v>
      </c>
      <c r="G2725" s="3" t="s">
        <v>849</v>
      </c>
      <c r="H2725" s="2" t="s">
        <v>21</v>
      </c>
      <c r="I2725" s="2" t="s">
        <v>6504</v>
      </c>
      <c r="J2725" s="3" t="str">
        <f>HYPERLINK("https://www.boe.es/gazeta/dias/1817/07/10/pdfs/GMD-1817-82.pdf#page=4","Abrir facsímil")</f>
        <v>Abrir facsímil</v>
      </c>
      <c r="K2725" s="3" t="s">
        <v>23</v>
      </c>
    </row>
    <row r="2726" spans="1:11" ht="42" customHeight="1">
      <c r="A2726" s="2" t="s">
        <v>6505</v>
      </c>
      <c r="B2726" s="2" t="s">
        <v>6505</v>
      </c>
      <c r="C2726" s="2" t="s">
        <v>510</v>
      </c>
      <c r="D2726" s="2" t="s">
        <v>44</v>
      </c>
      <c r="E2726" s="5">
        <v>-29985</v>
      </c>
      <c r="F2726" s="3" t="s">
        <v>76</v>
      </c>
      <c r="G2726" s="3" t="s">
        <v>72</v>
      </c>
      <c r="H2726" s="2" t="s">
        <v>21</v>
      </c>
      <c r="I2726" s="2" t="s">
        <v>6506</v>
      </c>
      <c r="J2726" s="3" t="str">
        <f>HYPERLINK("https://www.boe.es/gazeta/dias/1817/11/25/pdfs/GMD-1817-141.pdf#page=1","Abrir facsímil")</f>
        <v>Abrir facsímil</v>
      </c>
      <c r="K2726" s="3" t="s">
        <v>23</v>
      </c>
    </row>
    <row r="2727" spans="1:11" ht="42" customHeight="1">
      <c r="A2727" s="2" t="s">
        <v>6507</v>
      </c>
      <c r="B2727" s="2" t="s">
        <v>6507</v>
      </c>
      <c r="C2727" s="2" t="s">
        <v>36</v>
      </c>
      <c r="D2727" s="2" t="s">
        <v>37</v>
      </c>
      <c r="E2727" s="5">
        <v>-29976</v>
      </c>
      <c r="F2727" s="3" t="s">
        <v>81</v>
      </c>
      <c r="G2727" s="3" t="s">
        <v>749</v>
      </c>
      <c r="H2727" s="2" t="s">
        <v>21</v>
      </c>
      <c r="I2727" s="2" t="s">
        <v>6508</v>
      </c>
      <c r="J2727" s="3" t="str">
        <f>HYPERLINK("https://www.boe.es/gazeta/dias/1817/12/04/pdfs/GMD-1817-145.pdf#page=5","Abrir facsímil")</f>
        <v>Abrir facsímil</v>
      </c>
      <c r="K2727" s="3" t="s">
        <v>23</v>
      </c>
    </row>
    <row r="2728" spans="1:11" ht="42" customHeight="1">
      <c r="A2728" s="2" t="s">
        <v>6509</v>
      </c>
      <c r="B2728" s="2" t="s">
        <v>6510</v>
      </c>
      <c r="C2728" s="2" t="s">
        <v>36</v>
      </c>
      <c r="D2728" s="2" t="s">
        <v>37</v>
      </c>
      <c r="E2728" s="5">
        <v>-29976</v>
      </c>
      <c r="F2728" s="3" t="s">
        <v>81</v>
      </c>
      <c r="G2728" s="3" t="s">
        <v>749</v>
      </c>
      <c r="H2728" s="2" t="s">
        <v>21</v>
      </c>
      <c r="I2728" s="2" t="s">
        <v>6511</v>
      </c>
      <c r="J2728" s="3" t="str">
        <f>HYPERLINK("https://www.boe.es/gazeta/dias/1817/12/04/pdfs/GMD-1817-145.pdf#page=5","Abrir facsímil")</f>
        <v>Abrir facsímil</v>
      </c>
      <c r="K2728" s="3" t="s">
        <v>23</v>
      </c>
    </row>
    <row r="2729" spans="1:11" ht="42" customHeight="1">
      <c r="A2729" s="2" t="s">
        <v>6512</v>
      </c>
      <c r="B2729" s="2" t="s">
        <v>6513</v>
      </c>
      <c r="C2729" s="2" t="s">
        <v>17</v>
      </c>
      <c r="D2729" s="2" t="s">
        <v>18</v>
      </c>
      <c r="E2729" s="5">
        <v>-30111</v>
      </c>
      <c r="F2729" s="3" t="s">
        <v>1017</v>
      </c>
      <c r="G2729" s="3" t="s">
        <v>57</v>
      </c>
      <c r="H2729" s="2" t="s">
        <v>21</v>
      </c>
      <c r="I2729" s="2" t="s">
        <v>6514</v>
      </c>
      <c r="J2729" s="3" t="str">
        <f>HYPERLINK("https://www.boe.es/gazeta/dias/1817/07/22/pdfs/GMD-1817-87.pdf#page=6","Abrir facsímil")</f>
        <v>Abrir facsímil</v>
      </c>
      <c r="K2729" s="3" t="s">
        <v>23</v>
      </c>
    </row>
    <row r="2730" spans="1:11" ht="42" customHeight="1">
      <c r="A2730" s="2" t="s">
        <v>6515</v>
      </c>
      <c r="B2730" s="2" t="s">
        <v>6516</v>
      </c>
      <c r="C2730" s="2" t="s">
        <v>36</v>
      </c>
      <c r="D2730" s="2" t="s">
        <v>37</v>
      </c>
      <c r="E2730" s="5">
        <v>-30109</v>
      </c>
      <c r="F2730" s="3" t="s">
        <v>205</v>
      </c>
      <c r="G2730" s="3" t="s">
        <v>112</v>
      </c>
      <c r="H2730" s="2" t="s">
        <v>21</v>
      </c>
      <c r="I2730" s="2" t="s">
        <v>6517</v>
      </c>
      <c r="J2730" s="3" t="str">
        <f>HYPERLINK("https://www.boe.es/gazeta/dias/1817/07/24/pdfs/GMD-1817-88.pdf#page=11","Abrir facsímil")</f>
        <v>Abrir facsímil</v>
      </c>
      <c r="K2730" s="3" t="s">
        <v>23</v>
      </c>
    </row>
    <row r="2731" spans="1:11" ht="42" customHeight="1">
      <c r="A2731" s="2" t="s">
        <v>6518</v>
      </c>
      <c r="B2731" s="2" t="s">
        <v>6519</v>
      </c>
      <c r="C2731" s="2" t="s">
        <v>43</v>
      </c>
      <c r="D2731" s="2" t="s">
        <v>44</v>
      </c>
      <c r="E2731" s="5">
        <v>-30303</v>
      </c>
      <c r="F2731" s="3" t="s">
        <v>407</v>
      </c>
      <c r="G2731" s="3" t="s">
        <v>39</v>
      </c>
      <c r="H2731" s="2" t="s">
        <v>21</v>
      </c>
      <c r="I2731" s="2" t="s">
        <v>6520</v>
      </c>
      <c r="J2731" s="3" t="str">
        <f>HYPERLINK("https://www.boe.es/gazeta/dias/1817/01/11/pdfs/GMD-1817-5.pdf#page=5","Abrir facsímil")</f>
        <v>Abrir facsímil</v>
      </c>
      <c r="K2731" s="3" t="s">
        <v>23</v>
      </c>
    </row>
    <row r="2732" spans="1:11" ht="42" customHeight="1">
      <c r="A2732" s="2" t="s">
        <v>6521</v>
      </c>
      <c r="B2732" s="2" t="s">
        <v>6522</v>
      </c>
      <c r="C2732" s="2" t="s">
        <v>510</v>
      </c>
      <c r="D2732" s="2" t="s">
        <v>44</v>
      </c>
      <c r="E2732" s="5">
        <v>-30298</v>
      </c>
      <c r="F2732" s="3" t="s">
        <v>489</v>
      </c>
      <c r="G2732" s="3" t="s">
        <v>77</v>
      </c>
      <c r="H2732" s="2" t="s">
        <v>21</v>
      </c>
      <c r="I2732" s="2" t="s">
        <v>6523</v>
      </c>
      <c r="J2732" s="3" t="str">
        <f>HYPERLINK("https://www.boe.es/gazeta/dias/1817/01/16/pdfs/GMD-1817-7.pdf#page=8","Abrir facsímil")</f>
        <v>Abrir facsímil</v>
      </c>
      <c r="K2732" s="3" t="s">
        <v>23</v>
      </c>
    </row>
    <row r="2733" spans="1:11" ht="42" customHeight="1">
      <c r="A2733" s="2" t="s">
        <v>6524</v>
      </c>
      <c r="B2733" s="2" t="s">
        <v>6525</v>
      </c>
      <c r="C2733" s="2" t="s">
        <v>55</v>
      </c>
      <c r="D2733" s="2" t="s">
        <v>44</v>
      </c>
      <c r="E2733" s="5">
        <v>-30125</v>
      </c>
      <c r="F2733" s="3" t="s">
        <v>102</v>
      </c>
      <c r="G2733" s="3" t="s">
        <v>20</v>
      </c>
      <c r="H2733" s="2" t="s">
        <v>21</v>
      </c>
      <c r="I2733" s="2" t="s">
        <v>6526</v>
      </c>
      <c r="J2733" s="3" t="str">
        <f>HYPERLINK("https://www.boe.es/gazeta/dias/1817/07/08/pdfs/GMD-1817-81.pdf#page=7","Abrir facsímil")</f>
        <v>Abrir facsímil</v>
      </c>
      <c r="K2733" s="3" t="s">
        <v>23</v>
      </c>
    </row>
    <row r="2734" spans="1:11" ht="42" customHeight="1">
      <c r="A2734" s="2" t="s">
        <v>6527</v>
      </c>
      <c r="B2734" s="2" t="s">
        <v>6528</v>
      </c>
      <c r="C2734" s="2" t="s">
        <v>55</v>
      </c>
      <c r="D2734" s="2" t="s">
        <v>44</v>
      </c>
      <c r="E2734" s="5">
        <v>-30216</v>
      </c>
      <c r="F2734" s="3" t="s">
        <v>344</v>
      </c>
      <c r="G2734" s="3" t="s">
        <v>77</v>
      </c>
      <c r="H2734" s="2" t="s">
        <v>21</v>
      </c>
      <c r="I2734" s="2" t="s">
        <v>6529</v>
      </c>
      <c r="J2734" s="3" t="str">
        <f>HYPERLINK("https://www.boe.es/gazeta/dias/1817/04/08/pdfs/GMD-1817-42.pdf#page=8","Abrir facsímil")</f>
        <v>Abrir facsímil</v>
      </c>
      <c r="K2734" s="3" t="s">
        <v>23</v>
      </c>
    </row>
    <row r="2735" spans="1:11" ht="42" customHeight="1">
      <c r="A2735" s="2" t="s">
        <v>6530</v>
      </c>
      <c r="B2735" s="2" t="s">
        <v>6531</v>
      </c>
      <c r="C2735" s="2" t="s">
        <v>36</v>
      </c>
      <c r="D2735" s="2" t="s">
        <v>37</v>
      </c>
      <c r="E2735" s="5">
        <v>-29974</v>
      </c>
      <c r="F2735" s="3" t="s">
        <v>32</v>
      </c>
      <c r="G2735" s="3" t="s">
        <v>57</v>
      </c>
      <c r="H2735" s="2" t="s">
        <v>21</v>
      </c>
      <c r="I2735" s="2" t="s">
        <v>6532</v>
      </c>
      <c r="J2735" s="3" t="str">
        <f>HYPERLINK("https://www.boe.es/gazeta/dias/1817/12/06/pdfs/GMD-1817-146.pdf#page=6","Abrir facsímil")</f>
        <v>Abrir facsímil</v>
      </c>
      <c r="K2735" s="3" t="s">
        <v>23</v>
      </c>
    </row>
    <row r="2736" spans="1:11" ht="42" customHeight="1">
      <c r="A2736" s="2" t="s">
        <v>6533</v>
      </c>
      <c r="B2736" s="2" t="s">
        <v>6533</v>
      </c>
      <c r="C2736" s="2" t="s">
        <v>36</v>
      </c>
      <c r="D2736" s="2" t="s">
        <v>37</v>
      </c>
      <c r="E2736" s="5">
        <v>-30179</v>
      </c>
      <c r="F2736" s="3" t="s">
        <v>391</v>
      </c>
      <c r="G2736" s="3" t="s">
        <v>629</v>
      </c>
      <c r="H2736" s="2" t="s">
        <v>21</v>
      </c>
      <c r="I2736" s="2" t="s">
        <v>6534</v>
      </c>
      <c r="J2736" s="3" t="str">
        <f>HYPERLINK("https://www.boe.es/gazeta/dias/1817/05/15/pdfs/GMD-1817-58.pdf#page=2","Abrir facsímil")</f>
        <v>Abrir facsímil</v>
      </c>
      <c r="K2736" s="3" t="s">
        <v>23</v>
      </c>
    </row>
    <row r="2737" spans="1:11" ht="42" customHeight="1">
      <c r="A2737" s="2" t="s">
        <v>6535</v>
      </c>
      <c r="B2737" s="2" t="s">
        <v>6536</v>
      </c>
      <c r="C2737" s="2" t="s">
        <v>36</v>
      </c>
      <c r="D2737" s="2" t="s">
        <v>37</v>
      </c>
      <c r="E2737" s="5">
        <v>-30307</v>
      </c>
      <c r="F2737" s="3" t="s">
        <v>67</v>
      </c>
      <c r="G2737" s="3" t="s">
        <v>1179</v>
      </c>
      <c r="H2737" s="2" t="s">
        <v>21</v>
      </c>
      <c r="I2737" s="2" t="s">
        <v>6537</v>
      </c>
      <c r="J2737" s="3" t="str">
        <f>HYPERLINK("https://www.boe.es/gazeta/dias/1817/01/07/pdfs/GMD-1817-3.pdf#page=7","Abrir facsímil")</f>
        <v>Abrir facsímil</v>
      </c>
      <c r="K2737" s="3" t="s">
        <v>23</v>
      </c>
    </row>
    <row r="2738" spans="1:11" ht="42" customHeight="1">
      <c r="A2738" s="2" t="s">
        <v>6538</v>
      </c>
      <c r="B2738" s="2" t="s">
        <v>6539</v>
      </c>
      <c r="C2738" s="2" t="s">
        <v>43</v>
      </c>
      <c r="D2738" s="2" t="s">
        <v>44</v>
      </c>
      <c r="E2738" s="5">
        <v>-30307</v>
      </c>
      <c r="F2738" s="3" t="s">
        <v>67</v>
      </c>
      <c r="G2738" s="3" t="s">
        <v>739</v>
      </c>
      <c r="H2738" s="2" t="s">
        <v>21</v>
      </c>
      <c r="I2738" s="2" t="s">
        <v>6540</v>
      </c>
      <c r="J2738" s="3" t="str">
        <f>HYPERLINK("https://www.boe.es/gazeta/dias/1817/01/07/pdfs/GMD-1817-3.pdf#page=6","Abrir facsímil")</f>
        <v>Abrir facsímil</v>
      </c>
      <c r="K2738" s="3" t="s">
        <v>23</v>
      </c>
    </row>
    <row r="2739" spans="1:11" ht="42" customHeight="1">
      <c r="A2739" s="2" t="s">
        <v>6541</v>
      </c>
      <c r="B2739" s="2" t="s">
        <v>6542</v>
      </c>
      <c r="C2739" s="2" t="s">
        <v>55</v>
      </c>
      <c r="D2739" s="2" t="s">
        <v>44</v>
      </c>
      <c r="E2739" s="5">
        <v>-30109</v>
      </c>
      <c r="F2739" s="3" t="s">
        <v>205</v>
      </c>
      <c r="G2739" s="3" t="s">
        <v>206</v>
      </c>
      <c r="H2739" s="2" t="s">
        <v>27</v>
      </c>
      <c r="I2739" s="2" t="s">
        <v>6543</v>
      </c>
      <c r="J2739" s="3" t="str">
        <f>HYPERLINK("https://www.boe.es/gazeta/dias/1817/07/24/pdfs/GMD-1817-88.pdf#page=16","Abrir facsímil")</f>
        <v>Abrir facsímil</v>
      </c>
      <c r="K2739" s="3" t="s">
        <v>29</v>
      </c>
    </row>
    <row r="2740" spans="1:11" ht="42" customHeight="1">
      <c r="A2740" s="2" t="s">
        <v>6544</v>
      </c>
      <c r="B2740" s="2" t="s">
        <v>6545</v>
      </c>
      <c r="C2740" s="2" t="s">
        <v>36</v>
      </c>
      <c r="D2740" s="2" t="s">
        <v>37</v>
      </c>
      <c r="E2740" s="5">
        <v>-30279</v>
      </c>
      <c r="F2740" s="3" t="s">
        <v>1113</v>
      </c>
      <c r="G2740" s="3" t="s">
        <v>1114</v>
      </c>
      <c r="H2740" s="2" t="s">
        <v>27</v>
      </c>
      <c r="I2740" s="2" t="s">
        <v>6546</v>
      </c>
      <c r="J2740" s="3" t="str">
        <f>HYPERLINK("https://www.boe.es/gazeta/dias/1817/02/04/pdfs/GMD-1817-15.pdf#page=6","Abrir facsímil")</f>
        <v>Abrir facsímil</v>
      </c>
      <c r="K2740" s="3" t="s">
        <v>29</v>
      </c>
    </row>
    <row r="2741" spans="1:11" ht="42" customHeight="1">
      <c r="A2741" s="2" t="s">
        <v>6547</v>
      </c>
      <c r="B2741" s="2" t="s">
        <v>6548</v>
      </c>
      <c r="C2741" s="2" t="s">
        <v>510</v>
      </c>
      <c r="D2741" s="2" t="s">
        <v>44</v>
      </c>
      <c r="E2741" s="5">
        <v>-29988</v>
      </c>
      <c r="F2741" s="3" t="s">
        <v>569</v>
      </c>
      <c r="G2741" s="3" t="s">
        <v>20</v>
      </c>
      <c r="H2741" s="2" t="s">
        <v>21</v>
      </c>
      <c r="I2741" s="2" t="s">
        <v>6549</v>
      </c>
      <c r="J2741" s="3" t="str">
        <f>HYPERLINK("https://www.boe.es/gazeta/dias/1817/11/22/pdfs/GMD-1817-140.pdf#page=7","Abrir facsímil")</f>
        <v>Abrir facsímil</v>
      </c>
      <c r="K2741" s="3" t="s">
        <v>23</v>
      </c>
    </row>
    <row r="2742" spans="1:11" ht="42" customHeight="1">
      <c r="A2742" s="2" t="s">
        <v>6550</v>
      </c>
      <c r="B2742" s="2" t="s">
        <v>6551</v>
      </c>
      <c r="C2742" s="2" t="s">
        <v>36</v>
      </c>
      <c r="D2742" s="2" t="s">
        <v>37</v>
      </c>
      <c r="E2742" s="5">
        <v>-30109</v>
      </c>
      <c r="F2742" s="3" t="s">
        <v>205</v>
      </c>
      <c r="G2742" s="3" t="s">
        <v>1464</v>
      </c>
      <c r="H2742" s="2" t="s">
        <v>21</v>
      </c>
      <c r="I2742" s="2" t="s">
        <v>6552</v>
      </c>
      <c r="J2742" s="3" t="str">
        <f>HYPERLINK("https://www.boe.es/gazeta/dias/1817/07/24/pdfs/GMD-1817-88.pdf#page=13","Abrir facsímil")</f>
        <v>Abrir facsímil</v>
      </c>
      <c r="K2742" s="3" t="s">
        <v>23</v>
      </c>
    </row>
    <row r="2743" spans="1:11" ht="42" customHeight="1">
      <c r="A2743" s="2" t="s">
        <v>6553</v>
      </c>
      <c r="B2743" s="2" t="s">
        <v>6553</v>
      </c>
      <c r="C2743" s="2" t="s">
        <v>43</v>
      </c>
      <c r="D2743" s="2" t="s">
        <v>44</v>
      </c>
      <c r="E2743" s="5">
        <v>-30002</v>
      </c>
      <c r="F2743" s="3" t="s">
        <v>469</v>
      </c>
      <c r="G2743" s="3" t="s">
        <v>551</v>
      </c>
      <c r="H2743" s="2" t="s">
        <v>21</v>
      </c>
      <c r="I2743" s="2" t="s">
        <v>6554</v>
      </c>
      <c r="J2743" s="3" t="str">
        <f>HYPERLINK("https://www.boe.es/gazeta/dias/1817/11/08/pdfs/GMD-1817-134.pdf#page=3","Abrir facsímil")</f>
        <v>Abrir facsímil</v>
      </c>
      <c r="K2743" s="3" t="s">
        <v>23</v>
      </c>
    </row>
    <row r="2744" spans="1:11" ht="42" customHeight="1">
      <c r="A2744" s="2" t="s">
        <v>6555</v>
      </c>
      <c r="B2744" s="2" t="s">
        <v>6556</v>
      </c>
      <c r="C2744" s="2" t="s">
        <v>43</v>
      </c>
      <c r="D2744" s="2" t="s">
        <v>44</v>
      </c>
      <c r="E2744" s="5">
        <v>-30142</v>
      </c>
      <c r="F2744" s="3" t="s">
        <v>286</v>
      </c>
      <c r="G2744" s="3" t="s">
        <v>144</v>
      </c>
      <c r="H2744" s="2" t="s">
        <v>21</v>
      </c>
      <c r="I2744" s="2" t="s">
        <v>6557</v>
      </c>
      <c r="J2744" s="3" t="str">
        <f>HYPERLINK("https://www.boe.es/gazeta/dias/1817/06/21/pdfs/GMD-1817-74.pdf#page=4","Abrir facsímil")</f>
        <v>Abrir facsímil</v>
      </c>
      <c r="K2744" s="3" t="s">
        <v>23</v>
      </c>
    </row>
    <row r="2745" spans="1:11" ht="42" customHeight="1">
      <c r="A2745" s="2" t="s">
        <v>6558</v>
      </c>
      <c r="B2745" s="2" t="s">
        <v>6558</v>
      </c>
      <c r="C2745" s="2" t="s">
        <v>36</v>
      </c>
      <c r="D2745" s="2" t="s">
        <v>37</v>
      </c>
      <c r="E2745" s="5">
        <v>-30116</v>
      </c>
      <c r="F2745" s="3" t="s">
        <v>319</v>
      </c>
      <c r="G2745" s="3" t="s">
        <v>72</v>
      </c>
      <c r="H2745" s="2" t="s">
        <v>21</v>
      </c>
      <c r="I2745" s="2" t="s">
        <v>6559</v>
      </c>
      <c r="J2745" s="3" t="str">
        <f>HYPERLINK("https://www.boe.es/gazeta/dias/1817/07/17/pdfs/GMD-1817-85.pdf#page=1","Abrir facsímil")</f>
        <v>Abrir facsímil</v>
      </c>
      <c r="K2745" s="3" t="s">
        <v>23</v>
      </c>
    </row>
    <row r="2746" spans="1:11" ht="42" customHeight="1">
      <c r="A2746" s="2" t="s">
        <v>6560</v>
      </c>
      <c r="B2746" s="2" t="s">
        <v>6561</v>
      </c>
      <c r="C2746" s="2" t="s">
        <v>36</v>
      </c>
      <c r="D2746" s="2" t="s">
        <v>37</v>
      </c>
      <c r="E2746" s="5">
        <v>-30065</v>
      </c>
      <c r="F2746" s="3" t="s">
        <v>201</v>
      </c>
      <c r="G2746" s="3" t="s">
        <v>20</v>
      </c>
      <c r="H2746" s="2" t="s">
        <v>21</v>
      </c>
      <c r="I2746" s="2" t="s">
        <v>6562</v>
      </c>
      <c r="J2746" s="3" t="str">
        <f>HYPERLINK("https://www.boe.es/gazeta/dias/1817/09/06/pdfs/GMD-1817-107.pdf#page=7","Abrir facsímil")</f>
        <v>Abrir facsímil</v>
      </c>
      <c r="K2746" s="3" t="s">
        <v>23</v>
      </c>
    </row>
    <row r="2747" spans="1:11" ht="42" customHeight="1">
      <c r="A2747" s="2" t="s">
        <v>6563</v>
      </c>
      <c r="B2747" s="2" t="s">
        <v>6564</v>
      </c>
      <c r="C2747" s="2" t="s">
        <v>36</v>
      </c>
      <c r="D2747" s="2" t="s">
        <v>37</v>
      </c>
      <c r="E2747" s="5">
        <v>-30055</v>
      </c>
      <c r="F2747" s="3" t="s">
        <v>71</v>
      </c>
      <c r="G2747" s="3" t="s">
        <v>887</v>
      </c>
      <c r="H2747" s="2" t="s">
        <v>27</v>
      </c>
      <c r="I2747" s="2" t="s">
        <v>6565</v>
      </c>
      <c r="J2747" s="3" t="str">
        <f>HYPERLINK("https://www.boe.es/gazeta/dias/1817/09/16/pdfs/GMD-1817-111.pdf#page=9","Abrir facsímil")</f>
        <v>Abrir facsímil</v>
      </c>
      <c r="K2747" s="3" t="s">
        <v>29</v>
      </c>
    </row>
    <row r="2748" spans="1:11" ht="42" customHeight="1">
      <c r="A2748" s="2" t="s">
        <v>6566</v>
      </c>
      <c r="B2748" s="2" t="s">
        <v>6567</v>
      </c>
      <c r="C2748" s="2" t="s">
        <v>36</v>
      </c>
      <c r="D2748" s="2" t="s">
        <v>37</v>
      </c>
      <c r="E2748" s="5">
        <v>-29950</v>
      </c>
      <c r="F2748" s="3" t="s">
        <v>185</v>
      </c>
      <c r="G2748" s="3" t="s">
        <v>39</v>
      </c>
      <c r="H2748" s="2" t="s">
        <v>21</v>
      </c>
      <c r="I2748" s="2" t="s">
        <v>6568</v>
      </c>
      <c r="J2748" s="3" t="str">
        <f>HYPERLINK("https://www.boe.es/gazeta/dias/1817/12/30/pdfs/GMD-1817-156.pdf#page=5","Abrir facsímil")</f>
        <v>Abrir facsímil</v>
      </c>
      <c r="K2748" s="3" t="s">
        <v>23</v>
      </c>
    </row>
    <row r="2749" spans="1:11" ht="42" customHeight="1">
      <c r="A2749" s="2" t="s">
        <v>6569</v>
      </c>
      <c r="B2749" s="2" t="s">
        <v>6570</v>
      </c>
      <c r="C2749" s="2" t="s">
        <v>36</v>
      </c>
      <c r="D2749" s="2" t="s">
        <v>37</v>
      </c>
      <c r="E2749" s="5">
        <v>-30230</v>
      </c>
      <c r="F2749" s="3" t="s">
        <v>189</v>
      </c>
      <c r="G2749" s="3" t="s">
        <v>2911</v>
      </c>
      <c r="H2749" s="2" t="s">
        <v>21</v>
      </c>
      <c r="I2749" s="2" t="s">
        <v>6571</v>
      </c>
      <c r="J2749" s="3" t="str">
        <f>HYPERLINK("https://www.boe.es/gazeta/dias/1817/03/25/pdfs/GMD-1817-36.pdf#page=6","Abrir facsímil")</f>
        <v>Abrir facsímil</v>
      </c>
      <c r="K2749" s="3" t="s">
        <v>23</v>
      </c>
    </row>
    <row r="2750" spans="1:11" ht="42" customHeight="1">
      <c r="A2750" s="2" t="s">
        <v>6572</v>
      </c>
      <c r="B2750" s="2" t="s">
        <v>6573</v>
      </c>
      <c r="C2750" s="2" t="s">
        <v>17</v>
      </c>
      <c r="D2750" s="2" t="s">
        <v>18</v>
      </c>
      <c r="E2750" s="5">
        <v>-30041</v>
      </c>
      <c r="F2750" s="3" t="s">
        <v>260</v>
      </c>
      <c r="G2750" s="3" t="s">
        <v>77</v>
      </c>
      <c r="H2750" s="2" t="s">
        <v>21</v>
      </c>
      <c r="I2750" s="2" t="s">
        <v>6574</v>
      </c>
      <c r="J2750" s="3" t="str">
        <f>HYPERLINK("https://www.boe.es/gazeta/dias/1817/09/30/pdfs/GMD-1817-117.pdf#page=8","Abrir facsímil")</f>
        <v>Abrir facsímil</v>
      </c>
      <c r="K2750" s="3" t="s">
        <v>23</v>
      </c>
    </row>
    <row r="2751" spans="1:11" ht="42" customHeight="1">
      <c r="A2751" s="2" t="s">
        <v>6575</v>
      </c>
      <c r="B2751" s="2" t="s">
        <v>6576</v>
      </c>
      <c r="C2751" s="2" t="s">
        <v>17</v>
      </c>
      <c r="D2751" s="2" t="s">
        <v>18</v>
      </c>
      <c r="E2751" s="5">
        <v>-30186</v>
      </c>
      <c r="F2751" s="3" t="s">
        <v>2003</v>
      </c>
      <c r="G2751" s="3" t="s">
        <v>77</v>
      </c>
      <c r="H2751" s="2" t="s">
        <v>27</v>
      </c>
      <c r="I2751" s="2" t="s">
        <v>6577</v>
      </c>
      <c r="J2751" s="3" t="str">
        <f>HYPERLINK("https://www.boe.es/gazeta/dias/1817/05/08/pdfs/GMD-1817-55.pdf#page=8","Abrir facsímil")</f>
        <v>Abrir facsímil</v>
      </c>
      <c r="K2751" s="3" t="s">
        <v>29</v>
      </c>
    </row>
    <row r="2752" spans="1:11" ht="42" customHeight="1">
      <c r="A2752" s="2" t="s">
        <v>6578</v>
      </c>
      <c r="B2752" s="2" t="s">
        <v>6579</v>
      </c>
      <c r="C2752" s="2" t="s">
        <v>36</v>
      </c>
      <c r="D2752" s="2" t="s">
        <v>37</v>
      </c>
      <c r="E2752" s="5">
        <v>-30282</v>
      </c>
      <c r="F2752" s="3" t="s">
        <v>1049</v>
      </c>
      <c r="G2752" s="3" t="s">
        <v>20</v>
      </c>
      <c r="H2752" s="2" t="s">
        <v>21</v>
      </c>
      <c r="I2752" s="2" t="s">
        <v>6580</v>
      </c>
      <c r="J2752" s="3" t="str">
        <f>HYPERLINK("https://www.boe.es/gazeta/dias/1817/02/01/pdfs/GMD-1817-14.pdf#page=7","Abrir facsímil")</f>
        <v>Abrir facsímil</v>
      </c>
      <c r="K2752" s="3" t="s">
        <v>23</v>
      </c>
    </row>
    <row r="2753" spans="1:11" ht="42" customHeight="1">
      <c r="A2753" s="2" t="s">
        <v>6581</v>
      </c>
      <c r="B2753" s="2" t="s">
        <v>6582</v>
      </c>
      <c r="C2753" s="2" t="s">
        <v>36</v>
      </c>
      <c r="D2753" s="2" t="s">
        <v>37</v>
      </c>
      <c r="E2753" s="5">
        <v>-30109</v>
      </c>
      <c r="F2753" s="3" t="s">
        <v>205</v>
      </c>
      <c r="G2753" s="3" t="s">
        <v>112</v>
      </c>
      <c r="H2753" s="2" t="s">
        <v>21</v>
      </c>
      <c r="I2753" s="2" t="s">
        <v>6583</v>
      </c>
      <c r="J2753" s="3" t="str">
        <f>HYPERLINK("https://www.boe.es/gazeta/dias/1817/07/24/pdfs/GMD-1817-88.pdf#page=11","Abrir facsímil")</f>
        <v>Abrir facsímil</v>
      </c>
      <c r="K2753" s="3" t="s">
        <v>23</v>
      </c>
    </row>
    <row r="2754" spans="1:11" ht="42" customHeight="1">
      <c r="A2754" s="2" t="s">
        <v>6584</v>
      </c>
      <c r="B2754" s="2" t="s">
        <v>6585</v>
      </c>
      <c r="C2754" s="2" t="s">
        <v>36</v>
      </c>
      <c r="D2754" s="2" t="s">
        <v>37</v>
      </c>
      <c r="E2754" s="5">
        <v>-30109</v>
      </c>
      <c r="F2754" s="3" t="s">
        <v>205</v>
      </c>
      <c r="G2754" s="3" t="s">
        <v>1464</v>
      </c>
      <c r="H2754" s="2" t="s">
        <v>21</v>
      </c>
      <c r="I2754" s="2" t="s">
        <v>6586</v>
      </c>
      <c r="J2754" s="3" t="str">
        <f>HYPERLINK("https://www.boe.es/gazeta/dias/1817/07/24/pdfs/GMD-1817-88.pdf#page=13","Abrir facsímil")</f>
        <v>Abrir facsímil</v>
      </c>
      <c r="K2754" s="3" t="s">
        <v>23</v>
      </c>
    </row>
    <row r="2755" spans="1:11" ht="42" customHeight="1">
      <c r="A2755" s="2" t="s">
        <v>6587</v>
      </c>
      <c r="B2755" s="2" t="s">
        <v>6588</v>
      </c>
      <c r="C2755" s="2" t="s">
        <v>510</v>
      </c>
      <c r="D2755" s="2" t="s">
        <v>44</v>
      </c>
      <c r="E2755" s="5">
        <v>-30023</v>
      </c>
      <c r="F2755" s="3" t="s">
        <v>460</v>
      </c>
      <c r="G2755" s="3" t="s">
        <v>461</v>
      </c>
      <c r="H2755" s="2" t="s">
        <v>21</v>
      </c>
      <c r="I2755" s="2" t="s">
        <v>6589</v>
      </c>
      <c r="J2755" s="3" t="str">
        <f>HYPERLINK("https://www.boe.es/gazeta/dias/1817/10/18/pdfs/GMD-1817-125.pdf#page=8","Abrir facsímil")</f>
        <v>Abrir facsímil</v>
      </c>
      <c r="K2755" s="3" t="s">
        <v>23</v>
      </c>
    </row>
    <row r="2756" spans="1:11" ht="42" customHeight="1">
      <c r="A2756" s="2" t="s">
        <v>6590</v>
      </c>
      <c r="B2756" s="2" t="s">
        <v>6591</v>
      </c>
      <c r="C2756" s="2" t="s">
        <v>36</v>
      </c>
      <c r="D2756" s="2" t="s">
        <v>37</v>
      </c>
      <c r="E2756" s="5">
        <v>-30282</v>
      </c>
      <c r="F2756" s="3" t="s">
        <v>1049</v>
      </c>
      <c r="G2756" s="3" t="s">
        <v>57</v>
      </c>
      <c r="H2756" s="2" t="s">
        <v>27</v>
      </c>
      <c r="I2756" s="2" t="s">
        <v>6592</v>
      </c>
      <c r="J2756" s="3" t="str">
        <f>HYPERLINK("https://www.boe.es/gazeta/dias/1817/02/01/pdfs/GMD-1817-14.pdf#page=6","Abrir facsímil")</f>
        <v>Abrir facsímil</v>
      </c>
      <c r="K2756" s="3" t="s">
        <v>29</v>
      </c>
    </row>
    <row r="2757" spans="1:11" ht="42" customHeight="1">
      <c r="A2757" s="2" t="s">
        <v>6593</v>
      </c>
      <c r="B2757" s="2" t="s">
        <v>6594</v>
      </c>
      <c r="C2757" s="2" t="s">
        <v>36</v>
      </c>
      <c r="D2757" s="2" t="s">
        <v>37</v>
      </c>
      <c r="E2757" s="5">
        <v>-30282</v>
      </c>
      <c r="F2757" s="3" t="s">
        <v>1049</v>
      </c>
      <c r="G2757" s="3" t="s">
        <v>20</v>
      </c>
      <c r="H2757" s="2" t="s">
        <v>27</v>
      </c>
      <c r="I2757" s="2" t="s">
        <v>6595</v>
      </c>
      <c r="J2757" s="3" t="str">
        <f>HYPERLINK("https://www.boe.es/gazeta/dias/1817/02/01/pdfs/GMD-1817-14.pdf#page=7","Abrir facsímil")</f>
        <v>Abrir facsímil</v>
      </c>
      <c r="K2757" s="3" t="s">
        <v>29</v>
      </c>
    </row>
    <row r="2758" spans="1:11" ht="42" customHeight="1">
      <c r="A2758" s="2" t="s">
        <v>6596</v>
      </c>
      <c r="B2758" s="2" t="s">
        <v>6597</v>
      </c>
      <c r="C2758" s="2" t="s">
        <v>36</v>
      </c>
      <c r="D2758" s="2" t="s">
        <v>37</v>
      </c>
      <c r="E2758" s="5">
        <v>-30072</v>
      </c>
      <c r="F2758" s="3" t="s">
        <v>442</v>
      </c>
      <c r="G2758" s="3" t="s">
        <v>1767</v>
      </c>
      <c r="H2758" s="2" t="s">
        <v>27</v>
      </c>
      <c r="I2758" s="2" t="s">
        <v>6598</v>
      </c>
      <c r="J2758" s="3" t="str">
        <f>HYPERLINK("https://www.boe.es/gazeta/dias/1817/08/30/pdfs/GMD-1817-104.pdf#page=8","Abrir facsímil")</f>
        <v>Abrir facsímil</v>
      </c>
      <c r="K2758" s="3" t="s">
        <v>29</v>
      </c>
    </row>
    <row r="2759" spans="1:11" ht="42" customHeight="1">
      <c r="A2759" s="2" t="s">
        <v>6599</v>
      </c>
      <c r="B2759" s="2" t="s">
        <v>6599</v>
      </c>
      <c r="C2759" s="2" t="s">
        <v>43</v>
      </c>
      <c r="D2759" s="2" t="s">
        <v>44</v>
      </c>
      <c r="E2759" s="5">
        <v>-30156</v>
      </c>
      <c r="F2759" s="3" t="s">
        <v>635</v>
      </c>
      <c r="G2759" s="3" t="s">
        <v>39</v>
      </c>
      <c r="H2759" s="2" t="s">
        <v>21</v>
      </c>
      <c r="I2759" s="2" t="s">
        <v>6600</v>
      </c>
      <c r="J2759" s="3" t="str">
        <f>HYPERLINK("https://www.boe.es/gazeta/dias/1817/06/07/pdfs/GMD-1817-68.pdf#page=5","Abrir facsímil")</f>
        <v>Abrir facsímil</v>
      </c>
      <c r="K2759" s="3" t="s">
        <v>23</v>
      </c>
    </row>
    <row r="2760" spans="1:11" ht="42" customHeight="1">
      <c r="A2760" s="2" t="s">
        <v>6601</v>
      </c>
      <c r="B2760" s="2" t="s">
        <v>6602</v>
      </c>
      <c r="C2760" s="2" t="s">
        <v>36</v>
      </c>
      <c r="D2760" s="2" t="s">
        <v>37</v>
      </c>
      <c r="E2760" s="5">
        <v>-29969</v>
      </c>
      <c r="F2760" s="3" t="s">
        <v>252</v>
      </c>
      <c r="G2760" s="3" t="s">
        <v>77</v>
      </c>
      <c r="H2760" s="2" t="s">
        <v>21</v>
      </c>
      <c r="I2760" s="2" t="s">
        <v>6603</v>
      </c>
      <c r="J2760" s="3" t="str">
        <f>HYPERLINK("https://www.boe.es/gazeta/dias/1817/12/11/pdfs/GMD-1817-148.pdf#page=8","Abrir facsímil")</f>
        <v>Abrir facsímil</v>
      </c>
      <c r="K2760" s="3" t="s">
        <v>23</v>
      </c>
    </row>
    <row r="2761" spans="1:11" ht="42" customHeight="1">
      <c r="A2761" s="2" t="s">
        <v>6604</v>
      </c>
      <c r="B2761" s="2" t="s">
        <v>6605</v>
      </c>
      <c r="C2761" s="2" t="s">
        <v>36</v>
      </c>
      <c r="D2761" s="2" t="s">
        <v>37</v>
      </c>
      <c r="E2761" s="5">
        <v>-30149</v>
      </c>
      <c r="F2761" s="3" t="s">
        <v>430</v>
      </c>
      <c r="G2761" s="3" t="s">
        <v>39</v>
      </c>
      <c r="H2761" s="2" t="s">
        <v>21</v>
      </c>
      <c r="I2761" s="2" t="s">
        <v>6606</v>
      </c>
      <c r="J2761" s="3" t="str">
        <f>HYPERLINK("https://www.boe.es/gazeta/dias/1817/06/14/pdfs/GMD-1817-71.pdf#page=5","Abrir facsímil")</f>
        <v>Abrir facsímil</v>
      </c>
      <c r="K2761" s="3" t="s">
        <v>23</v>
      </c>
    </row>
    <row r="2762" spans="1:11" ht="42" customHeight="1">
      <c r="A2762" s="2" t="s">
        <v>6607</v>
      </c>
      <c r="B2762" s="2" t="s">
        <v>6608</v>
      </c>
      <c r="C2762" s="2" t="s">
        <v>55</v>
      </c>
      <c r="D2762" s="2" t="s">
        <v>44</v>
      </c>
      <c r="E2762" s="5">
        <v>-30095</v>
      </c>
      <c r="F2762" s="3" t="s">
        <v>365</v>
      </c>
      <c r="G2762" s="3" t="s">
        <v>82</v>
      </c>
      <c r="H2762" s="2" t="s">
        <v>21</v>
      </c>
      <c r="I2762" s="2" t="s">
        <v>6609</v>
      </c>
      <c r="J2762" s="3" t="str">
        <f>HYPERLINK("https://www.boe.es/gazeta/dias/1817/08/07/pdfs/GMD-1817-94.pdf#page=12","Abrir facsímil")</f>
        <v>Abrir facsímil</v>
      </c>
      <c r="K2762" s="3" t="s">
        <v>23</v>
      </c>
    </row>
    <row r="2763" spans="1:11" ht="42" customHeight="1">
      <c r="A2763" s="2" t="s">
        <v>6610</v>
      </c>
      <c r="B2763" s="2" t="s">
        <v>6611</v>
      </c>
      <c r="C2763" s="2" t="s">
        <v>43</v>
      </c>
      <c r="D2763" s="2" t="s">
        <v>44</v>
      </c>
      <c r="E2763" s="5">
        <v>-30254</v>
      </c>
      <c r="F2763" s="3" t="s">
        <v>124</v>
      </c>
      <c r="G2763" s="3" t="s">
        <v>551</v>
      </c>
      <c r="H2763" s="2" t="s">
        <v>27</v>
      </c>
      <c r="I2763" s="2" t="s">
        <v>6612</v>
      </c>
      <c r="J2763" s="3" t="str">
        <f>HYPERLINK("https://www.boe.es/gazeta/dias/1817/03/01/pdfs/GMD-1817-26.pdf#page=3","Abrir facsímil")</f>
        <v>Abrir facsímil</v>
      </c>
      <c r="K2763" s="3" t="s">
        <v>29</v>
      </c>
    </row>
    <row r="2764" spans="1:11" ht="42" customHeight="1">
      <c r="A2764" s="2" t="s">
        <v>6613</v>
      </c>
      <c r="B2764" s="2" t="s">
        <v>6613</v>
      </c>
      <c r="C2764" s="2" t="s">
        <v>43</v>
      </c>
      <c r="D2764" s="2" t="s">
        <v>44</v>
      </c>
      <c r="E2764" s="5">
        <v>-30086</v>
      </c>
      <c r="F2764" s="3" t="s">
        <v>221</v>
      </c>
      <c r="G2764" s="3" t="s">
        <v>72</v>
      </c>
      <c r="H2764" s="2" t="s">
        <v>21</v>
      </c>
      <c r="I2764" s="2" t="s">
        <v>6614</v>
      </c>
      <c r="J2764" s="3" t="str">
        <f>HYPERLINK("https://www.boe.es/gazeta/dias/1817/08/16/pdfs/GMD-1817-98.pdf#page=1","Abrir facsímil")</f>
        <v>Abrir facsímil</v>
      </c>
      <c r="K2764" s="3" t="s">
        <v>23</v>
      </c>
    </row>
    <row r="2765" spans="1:11" ht="42" customHeight="1">
      <c r="A2765" s="2" t="s">
        <v>6613</v>
      </c>
      <c r="B2765" s="2" t="s">
        <v>6613</v>
      </c>
      <c r="C2765" s="2" t="s">
        <v>36</v>
      </c>
      <c r="D2765" s="2" t="s">
        <v>37</v>
      </c>
      <c r="E2765" s="5">
        <v>-30053</v>
      </c>
      <c r="F2765" s="3" t="s">
        <v>129</v>
      </c>
      <c r="G2765" s="3" t="s">
        <v>77</v>
      </c>
      <c r="H2765" s="2" t="s">
        <v>21</v>
      </c>
      <c r="I2765" s="2" t="s">
        <v>6615</v>
      </c>
      <c r="J2765" s="3" t="str">
        <f>HYPERLINK("https://www.boe.es/gazeta/dias/1817/09/18/pdfs/GMD-1817-112.pdf#page=8","Abrir facsímil")</f>
        <v>Abrir facsímil</v>
      </c>
      <c r="K2765" s="3" t="s">
        <v>23</v>
      </c>
    </row>
    <row r="2766" spans="1:11" ht="42" customHeight="1">
      <c r="A2766" s="2" t="s">
        <v>6616</v>
      </c>
      <c r="B2766" s="2" t="s">
        <v>6616</v>
      </c>
      <c r="C2766" s="2" t="s">
        <v>36</v>
      </c>
      <c r="D2766" s="2" t="s">
        <v>37</v>
      </c>
      <c r="E2766" s="5">
        <v>-30230</v>
      </c>
      <c r="F2766" s="3" t="s">
        <v>189</v>
      </c>
      <c r="G2766" s="3" t="s">
        <v>6617</v>
      </c>
      <c r="H2766" s="2" t="s">
        <v>21</v>
      </c>
      <c r="I2766" s="2" t="s">
        <v>6618</v>
      </c>
      <c r="J2766" s="3" t="str">
        <f>HYPERLINK("https://www.boe.es/gazeta/dias/1817/03/25/pdfs/GMD-1817-36.pdf#page=3","Abrir facsímil")</f>
        <v>Abrir facsímil</v>
      </c>
      <c r="K2766" s="3" t="s">
        <v>23</v>
      </c>
    </row>
    <row r="2767" spans="1:11" ht="42" customHeight="1">
      <c r="A2767" s="2" t="s">
        <v>6616</v>
      </c>
      <c r="B2767" s="2" t="s">
        <v>6616</v>
      </c>
      <c r="C2767" s="2" t="s">
        <v>43</v>
      </c>
      <c r="D2767" s="2" t="s">
        <v>44</v>
      </c>
      <c r="E2767" s="5">
        <v>-30226</v>
      </c>
      <c r="F2767" s="3" t="s">
        <v>416</v>
      </c>
      <c r="G2767" s="3" t="s">
        <v>144</v>
      </c>
      <c r="H2767" s="2" t="s">
        <v>21</v>
      </c>
      <c r="I2767" s="2" t="s">
        <v>6619</v>
      </c>
      <c r="J2767" s="3" t="str">
        <f>HYPERLINK("https://www.boe.es/gazeta/dias/1817/03/29/pdfs/GMD-1817-38.pdf#page=4","Abrir facsímil")</f>
        <v>Abrir facsímil</v>
      </c>
      <c r="K2767" s="3" t="s">
        <v>23</v>
      </c>
    </row>
    <row r="2768" spans="1:11" ht="42" customHeight="1">
      <c r="A2768" s="2" t="s">
        <v>6616</v>
      </c>
      <c r="B2768" s="2" t="s">
        <v>6616</v>
      </c>
      <c r="C2768" s="2" t="s">
        <v>36</v>
      </c>
      <c r="D2768" s="2" t="s">
        <v>37</v>
      </c>
      <c r="E2768" s="5">
        <v>-30221</v>
      </c>
      <c r="F2768" s="3" t="s">
        <v>256</v>
      </c>
      <c r="G2768" s="3" t="s">
        <v>39</v>
      </c>
      <c r="H2768" s="2" t="s">
        <v>21</v>
      </c>
      <c r="I2768" s="2" t="s">
        <v>6620</v>
      </c>
      <c r="J2768" s="3" t="str">
        <f>HYPERLINK("https://www.boe.es/gazeta/dias/1817/04/03/pdfs/GMD-1817-40.pdf#page=5","Abrir facsímil")</f>
        <v>Abrir facsímil</v>
      </c>
      <c r="K2768" s="3" t="s">
        <v>23</v>
      </c>
    </row>
    <row r="2769" spans="1:11" ht="42" customHeight="1">
      <c r="A2769" s="2" t="s">
        <v>6616</v>
      </c>
      <c r="B2769" s="2" t="s">
        <v>6616</v>
      </c>
      <c r="C2769" s="2" t="s">
        <v>36</v>
      </c>
      <c r="D2769" s="2" t="s">
        <v>37</v>
      </c>
      <c r="E2769" s="5">
        <v>-30216</v>
      </c>
      <c r="F2769" s="3" t="s">
        <v>344</v>
      </c>
      <c r="G2769" s="3" t="s">
        <v>551</v>
      </c>
      <c r="H2769" s="2" t="s">
        <v>21</v>
      </c>
      <c r="I2769" s="2" t="s">
        <v>6621</v>
      </c>
      <c r="J2769" s="3" t="str">
        <f>HYPERLINK("https://www.boe.es/gazeta/dias/1817/04/08/pdfs/GMD-1817-42.pdf#page=3","Abrir facsímil")</f>
        <v>Abrir facsímil</v>
      </c>
      <c r="K2769" s="3" t="s">
        <v>23</v>
      </c>
    </row>
    <row r="2770" spans="1:11" ht="42" customHeight="1">
      <c r="A2770" s="2" t="s">
        <v>6616</v>
      </c>
      <c r="B2770" s="2" t="s">
        <v>6616</v>
      </c>
      <c r="C2770" s="2" t="s">
        <v>43</v>
      </c>
      <c r="D2770" s="2" t="s">
        <v>44</v>
      </c>
      <c r="E2770" s="5">
        <v>-30195</v>
      </c>
      <c r="F2770" s="3" t="s">
        <v>1163</v>
      </c>
      <c r="G2770" s="3" t="s">
        <v>1851</v>
      </c>
      <c r="H2770" s="2" t="s">
        <v>21</v>
      </c>
      <c r="I2770" s="2" t="s">
        <v>6622</v>
      </c>
      <c r="J2770" s="3" t="str">
        <f>HYPERLINK("https://www.boe.es/gazeta/dias/1817/04/29/pdfs/GMD-1817-51.pdf#page=2","Abrir facsímil")</f>
        <v>Abrir facsímil</v>
      </c>
      <c r="K2770" s="3" t="s">
        <v>23</v>
      </c>
    </row>
    <row r="2771" spans="1:11" ht="42" customHeight="1">
      <c r="A2771" s="2" t="s">
        <v>6616</v>
      </c>
      <c r="B2771" s="2" t="s">
        <v>6616</v>
      </c>
      <c r="C2771" s="2" t="s">
        <v>17</v>
      </c>
      <c r="D2771" s="2" t="s">
        <v>18</v>
      </c>
      <c r="E2771" s="5">
        <v>-30177</v>
      </c>
      <c r="F2771" s="3" t="s">
        <v>633</v>
      </c>
      <c r="G2771" s="3" t="s">
        <v>72</v>
      </c>
      <c r="H2771" s="2" t="s">
        <v>21</v>
      </c>
      <c r="I2771" s="2" t="s">
        <v>6623</v>
      </c>
      <c r="J2771" s="3" t="str">
        <f>HYPERLINK("https://www.boe.es/gazeta/dias/1817/05/17/pdfs/GMD-1817-59.pdf#page=1","Abrir facsímil")</f>
        <v>Abrir facsímil</v>
      </c>
      <c r="K2771" s="3" t="s">
        <v>23</v>
      </c>
    </row>
    <row r="2772" spans="1:11" ht="42" customHeight="1">
      <c r="A2772" s="2" t="s">
        <v>6616</v>
      </c>
      <c r="B2772" s="2" t="s">
        <v>6616</v>
      </c>
      <c r="C2772" s="2" t="s">
        <v>36</v>
      </c>
      <c r="D2772" s="2" t="s">
        <v>37</v>
      </c>
      <c r="E2772" s="5">
        <v>-30153</v>
      </c>
      <c r="F2772" s="3" t="s">
        <v>843</v>
      </c>
      <c r="G2772" s="3" t="s">
        <v>72</v>
      </c>
      <c r="H2772" s="2" t="s">
        <v>21</v>
      </c>
      <c r="I2772" s="2" t="s">
        <v>6624</v>
      </c>
      <c r="J2772" s="3" t="str">
        <f>HYPERLINK("https://www.boe.es/gazeta/dias/1817/06/10/pdfs/GMD-1817-69.pdf#page=1","Abrir facsímil")</f>
        <v>Abrir facsímil</v>
      </c>
      <c r="K2772" s="3" t="s">
        <v>23</v>
      </c>
    </row>
    <row r="2773" spans="1:11" ht="42" customHeight="1">
      <c r="A2773" s="2" t="s">
        <v>6616</v>
      </c>
      <c r="B2773" s="2" t="s">
        <v>6616</v>
      </c>
      <c r="C2773" s="2" t="s">
        <v>36</v>
      </c>
      <c r="D2773" s="2" t="s">
        <v>37</v>
      </c>
      <c r="E2773" s="5">
        <v>-30116</v>
      </c>
      <c r="F2773" s="3" t="s">
        <v>319</v>
      </c>
      <c r="G2773" s="3" t="s">
        <v>72</v>
      </c>
      <c r="H2773" s="2" t="s">
        <v>21</v>
      </c>
      <c r="I2773" s="2" t="s">
        <v>6625</v>
      </c>
      <c r="J2773" s="3" t="str">
        <f>HYPERLINK("https://www.boe.es/gazeta/dias/1817/07/17/pdfs/GMD-1817-85.pdf#page=1","Abrir facsímil")</f>
        <v>Abrir facsímil</v>
      </c>
      <c r="K2773" s="3" t="s">
        <v>23</v>
      </c>
    </row>
    <row r="2774" spans="1:11" ht="42" customHeight="1">
      <c r="A2774" s="2" t="s">
        <v>6616</v>
      </c>
      <c r="B2774" s="2" t="s">
        <v>6616</v>
      </c>
      <c r="C2774" s="2" t="s">
        <v>36</v>
      </c>
      <c r="D2774" s="2" t="s">
        <v>37</v>
      </c>
      <c r="E2774" s="5">
        <v>-30109</v>
      </c>
      <c r="F2774" s="3" t="s">
        <v>205</v>
      </c>
      <c r="G2774" s="3" t="s">
        <v>6626</v>
      </c>
      <c r="H2774" s="2" t="s">
        <v>21</v>
      </c>
      <c r="I2774" s="2" t="s">
        <v>6627</v>
      </c>
      <c r="J2774" s="3" t="str">
        <f>HYPERLINK("https://www.boe.es/gazeta/dias/1817/07/24/pdfs/GMD-1817-88.pdf#page=2","Abrir facsímil")</f>
        <v>Abrir facsímil</v>
      </c>
      <c r="K2774" s="3" t="s">
        <v>23</v>
      </c>
    </row>
    <row r="2775" spans="1:11" ht="42" customHeight="1">
      <c r="A2775" s="2" t="s">
        <v>6616</v>
      </c>
      <c r="B2775" s="2" t="s">
        <v>6616</v>
      </c>
      <c r="C2775" s="2" t="s">
        <v>17</v>
      </c>
      <c r="D2775" s="2" t="s">
        <v>18</v>
      </c>
      <c r="E2775" s="5">
        <v>-30100</v>
      </c>
      <c r="F2775" s="3" t="s">
        <v>436</v>
      </c>
      <c r="G2775" s="3" t="s">
        <v>72</v>
      </c>
      <c r="H2775" s="2" t="s">
        <v>21</v>
      </c>
      <c r="I2775" s="2" t="s">
        <v>6628</v>
      </c>
      <c r="J2775" s="3" t="str">
        <f>HYPERLINK("https://www.boe.es/gazeta/dias/1817/08/02/pdfs/GMD-1817-92.pdf#page=1","Abrir facsímil")</f>
        <v>Abrir facsímil</v>
      </c>
      <c r="K2775" s="3" t="s">
        <v>23</v>
      </c>
    </row>
    <row r="2776" spans="1:11" ht="42" customHeight="1">
      <c r="A2776" s="2" t="s">
        <v>6616</v>
      </c>
      <c r="B2776" s="2" t="s">
        <v>6616</v>
      </c>
      <c r="C2776" s="2" t="s">
        <v>36</v>
      </c>
      <c r="D2776" s="2" t="s">
        <v>37</v>
      </c>
      <c r="E2776" s="5">
        <v>-30095</v>
      </c>
      <c r="F2776" s="3" t="s">
        <v>365</v>
      </c>
      <c r="G2776" s="3" t="s">
        <v>629</v>
      </c>
      <c r="H2776" s="2" t="s">
        <v>21</v>
      </c>
      <c r="I2776" s="2" t="s">
        <v>6629</v>
      </c>
      <c r="J2776" s="3" t="str">
        <f>HYPERLINK("https://www.boe.es/gazeta/dias/1817/08/07/pdfs/GMD-1817-94.pdf#page=2","Abrir facsímil")</f>
        <v>Abrir facsímil</v>
      </c>
      <c r="K2776" s="3" t="s">
        <v>23</v>
      </c>
    </row>
    <row r="2777" spans="1:11" ht="42" customHeight="1">
      <c r="A2777" s="2" t="s">
        <v>6616</v>
      </c>
      <c r="B2777" s="2" t="s">
        <v>6616</v>
      </c>
      <c r="C2777" s="2" t="s">
        <v>17</v>
      </c>
      <c r="D2777" s="2" t="s">
        <v>18</v>
      </c>
      <c r="E2777" s="5">
        <v>-30083</v>
      </c>
      <c r="F2777" s="3" t="s">
        <v>1273</v>
      </c>
      <c r="G2777" s="3" t="s">
        <v>5834</v>
      </c>
      <c r="H2777" s="2" t="s">
        <v>21</v>
      </c>
      <c r="I2777" s="2" t="s">
        <v>6630</v>
      </c>
      <c r="J2777" s="3" t="str">
        <f>HYPERLINK("https://www.boe.es/gazeta/dias/1817/08/19/pdfs/GMD-1817-99.pdf#page=6","Abrir facsímil")</f>
        <v>Abrir facsímil</v>
      </c>
      <c r="K2777" s="3" t="s">
        <v>23</v>
      </c>
    </row>
    <row r="2778" spans="1:11" ht="42" customHeight="1">
      <c r="A2778" s="2" t="s">
        <v>6616</v>
      </c>
      <c r="B2778" s="2" t="s">
        <v>6616</v>
      </c>
      <c r="C2778" s="2" t="s">
        <v>55</v>
      </c>
      <c r="D2778" s="2" t="s">
        <v>44</v>
      </c>
      <c r="E2778" s="5">
        <v>-30076</v>
      </c>
      <c r="F2778" s="3" t="s">
        <v>439</v>
      </c>
      <c r="G2778" s="3" t="s">
        <v>72</v>
      </c>
      <c r="H2778" s="2" t="s">
        <v>21</v>
      </c>
      <c r="I2778" s="2" t="s">
        <v>6631</v>
      </c>
      <c r="J2778" s="3" t="str">
        <f>HYPERLINK("https://www.boe.es/gazeta/dias/1817/08/26/pdfs/GMD-1817-102.pdf#page=1","Abrir facsímil")</f>
        <v>Abrir facsímil</v>
      </c>
      <c r="K2778" s="3" t="s">
        <v>23</v>
      </c>
    </row>
    <row r="2779" spans="1:11" ht="42" customHeight="1">
      <c r="A2779" s="2" t="s">
        <v>6616</v>
      </c>
      <c r="B2779" s="2" t="s">
        <v>6616</v>
      </c>
      <c r="C2779" s="2" t="s">
        <v>17</v>
      </c>
      <c r="D2779" s="2" t="s">
        <v>18</v>
      </c>
      <c r="E2779" s="5">
        <v>-30065</v>
      </c>
      <c r="F2779" s="3" t="s">
        <v>201</v>
      </c>
      <c r="G2779" s="3" t="s">
        <v>72</v>
      </c>
      <c r="H2779" s="2" t="s">
        <v>21</v>
      </c>
      <c r="I2779" s="2" t="s">
        <v>6632</v>
      </c>
      <c r="J2779" s="3" t="str">
        <f>HYPERLINK("https://www.boe.es/gazeta/dias/1817/09/06/pdfs/GMD-1817-107.pdf#page=1","Abrir facsímil")</f>
        <v>Abrir facsímil</v>
      </c>
      <c r="K2779" s="3" t="s">
        <v>23</v>
      </c>
    </row>
    <row r="2780" spans="1:11" ht="42" customHeight="1">
      <c r="A2780" s="2" t="s">
        <v>6616</v>
      </c>
      <c r="B2780" s="2" t="s">
        <v>6616</v>
      </c>
      <c r="C2780" s="2" t="s">
        <v>36</v>
      </c>
      <c r="D2780" s="2" t="s">
        <v>37</v>
      </c>
      <c r="E2780" s="5">
        <v>-30044</v>
      </c>
      <c r="F2780" s="3" t="s">
        <v>450</v>
      </c>
      <c r="G2780" s="3" t="s">
        <v>72</v>
      </c>
      <c r="H2780" s="2" t="s">
        <v>21</v>
      </c>
      <c r="I2780" s="2" t="s">
        <v>6633</v>
      </c>
      <c r="J2780" s="3" t="str">
        <f>HYPERLINK("https://www.boe.es/gazeta/dias/1817/09/27/pdfs/GMD-1817-116.pdf#page=1","Abrir facsímil")</f>
        <v>Abrir facsímil</v>
      </c>
      <c r="K2780" s="3" t="s">
        <v>23</v>
      </c>
    </row>
    <row r="2781" spans="1:11" ht="42" customHeight="1">
      <c r="A2781" s="2" t="s">
        <v>6616</v>
      </c>
      <c r="B2781" s="2" t="s">
        <v>6616</v>
      </c>
      <c r="C2781" s="2" t="s">
        <v>49</v>
      </c>
      <c r="D2781" s="2" t="s">
        <v>44</v>
      </c>
      <c r="E2781" s="5">
        <v>-30039</v>
      </c>
      <c r="F2781" s="3" t="s">
        <v>558</v>
      </c>
      <c r="G2781" s="3" t="s">
        <v>20</v>
      </c>
      <c r="H2781" s="2" t="s">
        <v>21</v>
      </c>
      <c r="I2781" s="2" t="s">
        <v>6634</v>
      </c>
      <c r="J2781" s="3" t="str">
        <f>HYPERLINK("https://www.boe.es/gazeta/dias/1817/10/02/pdfs/GMD-1817-118.pdf#page=7","Abrir facsímil")</f>
        <v>Abrir facsímil</v>
      </c>
      <c r="K2781" s="3" t="s">
        <v>23</v>
      </c>
    </row>
    <row r="2782" spans="1:11" ht="42" customHeight="1">
      <c r="A2782" s="2" t="s">
        <v>6616</v>
      </c>
      <c r="B2782" s="2" t="s">
        <v>6616</v>
      </c>
      <c r="C2782" s="2" t="s">
        <v>49</v>
      </c>
      <c r="D2782" s="2" t="s">
        <v>44</v>
      </c>
      <c r="E2782" s="5">
        <v>-30023</v>
      </c>
      <c r="F2782" s="3" t="s">
        <v>460</v>
      </c>
      <c r="G2782" s="3" t="s">
        <v>72</v>
      </c>
      <c r="H2782" s="2" t="s">
        <v>21</v>
      </c>
      <c r="I2782" s="2" t="s">
        <v>6635</v>
      </c>
      <c r="J2782" s="3" t="str">
        <f>HYPERLINK("https://www.boe.es/gazeta/dias/1817/10/18/pdfs/GMD-1817-125.pdf#page=1","Abrir facsímil")</f>
        <v>Abrir facsímil</v>
      </c>
      <c r="K2782" s="3" t="s">
        <v>23</v>
      </c>
    </row>
    <row r="2783" spans="1:11" ht="42" customHeight="1">
      <c r="A2783" s="2" t="s">
        <v>6616</v>
      </c>
      <c r="B2783" s="2" t="s">
        <v>6616</v>
      </c>
      <c r="C2783" s="2" t="s">
        <v>36</v>
      </c>
      <c r="D2783" s="2" t="s">
        <v>37</v>
      </c>
      <c r="E2783" s="5">
        <v>-30013</v>
      </c>
      <c r="F2783" s="3" t="s">
        <v>464</v>
      </c>
      <c r="G2783" s="3" t="s">
        <v>72</v>
      </c>
      <c r="H2783" s="2" t="s">
        <v>21</v>
      </c>
      <c r="I2783" s="2" t="s">
        <v>6636</v>
      </c>
      <c r="J2783" s="3" t="str">
        <f>HYPERLINK("https://www.boe.es/gazeta/dias/1817/10/28/pdfs/GMD-1817-129.pdf#page=1","Abrir facsímil")</f>
        <v>Abrir facsímil</v>
      </c>
      <c r="K2783" s="3" t="s">
        <v>23</v>
      </c>
    </row>
    <row r="2784" spans="1:11" ht="42" customHeight="1">
      <c r="A2784" s="2" t="s">
        <v>6616</v>
      </c>
      <c r="B2784" s="2" t="s">
        <v>6616</v>
      </c>
      <c r="C2784" s="2" t="s">
        <v>49</v>
      </c>
      <c r="D2784" s="2" t="s">
        <v>44</v>
      </c>
      <c r="E2784" s="5">
        <v>-30006</v>
      </c>
      <c r="F2784" s="3" t="s">
        <v>210</v>
      </c>
      <c r="G2784" s="3" t="s">
        <v>77</v>
      </c>
      <c r="H2784" s="2" t="s">
        <v>21</v>
      </c>
      <c r="I2784" s="2" t="s">
        <v>6637</v>
      </c>
      <c r="J2784" s="3" t="str">
        <f>HYPERLINK("https://www.boe.es/gazeta/dias/1817/11/04/pdfs/GMD-1817-132.pdf#page=8","Abrir facsímil")</f>
        <v>Abrir facsímil</v>
      </c>
      <c r="K2784" s="3" t="s">
        <v>23</v>
      </c>
    </row>
    <row r="2785" spans="1:11" ht="42" customHeight="1">
      <c r="A2785" s="2" t="s">
        <v>6616</v>
      </c>
      <c r="B2785" s="2" t="s">
        <v>6616</v>
      </c>
      <c r="C2785" s="2" t="s">
        <v>36</v>
      </c>
      <c r="D2785" s="2" t="s">
        <v>37</v>
      </c>
      <c r="E2785" s="5">
        <v>-30004</v>
      </c>
      <c r="F2785" s="3" t="s">
        <v>329</v>
      </c>
      <c r="G2785" s="3" t="s">
        <v>72</v>
      </c>
      <c r="H2785" s="2" t="s">
        <v>21</v>
      </c>
      <c r="I2785" s="2" t="s">
        <v>6638</v>
      </c>
      <c r="J2785" s="3" t="str">
        <f>HYPERLINK("https://www.boe.es/gazeta/dias/1817/11/06/pdfs/GMD-1817-133.pdf#page=1","Abrir facsímil")</f>
        <v>Abrir facsímil</v>
      </c>
      <c r="K2785" s="3" t="s">
        <v>23</v>
      </c>
    </row>
    <row r="2786" spans="1:11" ht="42" customHeight="1">
      <c r="A2786" s="2" t="s">
        <v>6639</v>
      </c>
      <c r="B2786" s="2" t="s">
        <v>6639</v>
      </c>
      <c r="C2786" s="2" t="s">
        <v>17</v>
      </c>
      <c r="D2786" s="2" t="s">
        <v>18</v>
      </c>
      <c r="E2786" s="5">
        <v>-30261</v>
      </c>
      <c r="F2786" s="3" t="s">
        <v>226</v>
      </c>
      <c r="G2786" s="3" t="s">
        <v>144</v>
      </c>
      <c r="H2786" s="2" t="s">
        <v>21</v>
      </c>
      <c r="I2786" s="2" t="s">
        <v>6640</v>
      </c>
      <c r="J2786" s="3" t="str">
        <f>HYPERLINK("https://www.boe.es/gazeta/dias/1817/02/22/pdfs/GMD-1817-23.pdf#page=4","Abrir facsímil")</f>
        <v>Abrir facsímil</v>
      </c>
      <c r="K2786" s="3" t="s">
        <v>23</v>
      </c>
    </row>
    <row r="2787" spans="1:11" ht="42" customHeight="1">
      <c r="A2787" s="2" t="s">
        <v>6641</v>
      </c>
      <c r="B2787" s="2" t="s">
        <v>6641</v>
      </c>
      <c r="C2787" s="2" t="s">
        <v>55</v>
      </c>
      <c r="D2787" s="2" t="s">
        <v>44</v>
      </c>
      <c r="E2787" s="5">
        <v>-30261</v>
      </c>
      <c r="F2787" s="3" t="s">
        <v>226</v>
      </c>
      <c r="G2787" s="3" t="s">
        <v>144</v>
      </c>
      <c r="H2787" s="2" t="s">
        <v>21</v>
      </c>
      <c r="I2787" s="2" t="s">
        <v>6642</v>
      </c>
      <c r="J2787" s="3" t="str">
        <f>HYPERLINK("https://www.boe.es/gazeta/dias/1817/02/22/pdfs/GMD-1817-23.pdf#page=4","Abrir facsímil")</f>
        <v>Abrir facsímil</v>
      </c>
      <c r="K2787" s="3" t="s">
        <v>23</v>
      </c>
    </row>
    <row r="2788" spans="1:11" ht="42" customHeight="1">
      <c r="A2788" s="2" t="s">
        <v>6643</v>
      </c>
      <c r="B2788" s="2" t="s">
        <v>6644</v>
      </c>
      <c r="C2788" s="2" t="s">
        <v>36</v>
      </c>
      <c r="D2788" s="2" t="s">
        <v>37</v>
      </c>
      <c r="E2788" s="5">
        <v>-29983</v>
      </c>
      <c r="F2788" s="3" t="s">
        <v>148</v>
      </c>
      <c r="G2788" s="3" t="s">
        <v>654</v>
      </c>
      <c r="H2788" s="2" t="s">
        <v>21</v>
      </c>
      <c r="I2788" s="2" t="s">
        <v>6645</v>
      </c>
      <c r="J2788" s="3" t="str">
        <f>HYPERLINK("https://www.boe.es/gazeta/dias/1817/11/27/pdfs/GMD-1817-142.pdf#page=4","Abrir facsímil")</f>
        <v>Abrir facsímil</v>
      </c>
      <c r="K2788" s="3" t="s">
        <v>23</v>
      </c>
    </row>
    <row r="2789" spans="1:11" ht="42" customHeight="1">
      <c r="A2789" s="2" t="s">
        <v>6646</v>
      </c>
      <c r="B2789" s="2" t="s">
        <v>6647</v>
      </c>
      <c r="C2789" s="2" t="s">
        <v>17</v>
      </c>
      <c r="D2789" s="2" t="s">
        <v>18</v>
      </c>
      <c r="E2789" s="5">
        <v>-30093</v>
      </c>
      <c r="F2789" s="3" t="s">
        <v>230</v>
      </c>
      <c r="G2789" s="3" t="s">
        <v>20</v>
      </c>
      <c r="H2789" s="2" t="s">
        <v>21</v>
      </c>
      <c r="I2789" s="2" t="s">
        <v>6648</v>
      </c>
      <c r="J2789" s="3" t="str">
        <f>HYPERLINK("https://www.boe.es/gazeta/dias/1817/08/09/pdfs/GMD-1817-95.pdf#page=7","Abrir facsímil")</f>
        <v>Abrir facsímil</v>
      </c>
      <c r="K2789" s="3" t="s">
        <v>23</v>
      </c>
    </row>
    <row r="2790" spans="1:11" ht="42" customHeight="1">
      <c r="A2790" s="2" t="s">
        <v>6649</v>
      </c>
      <c r="B2790" s="2" t="s">
        <v>6650</v>
      </c>
      <c r="C2790" s="2" t="s">
        <v>36</v>
      </c>
      <c r="D2790" s="2" t="s">
        <v>37</v>
      </c>
      <c r="E2790" s="5">
        <v>-30093</v>
      </c>
      <c r="F2790" s="3" t="s">
        <v>230</v>
      </c>
      <c r="G2790" s="3" t="s">
        <v>20</v>
      </c>
      <c r="H2790" s="2" t="s">
        <v>21</v>
      </c>
      <c r="I2790" s="2" t="s">
        <v>6651</v>
      </c>
      <c r="J2790" s="3" t="str">
        <f>HYPERLINK("https://www.boe.es/gazeta/dias/1817/08/09/pdfs/GMD-1817-95.pdf#page=7","Abrir facsímil")</f>
        <v>Abrir facsímil</v>
      </c>
      <c r="K2790" s="3" t="s">
        <v>23</v>
      </c>
    </row>
    <row r="2791" spans="1:11" ht="42" customHeight="1">
      <c r="A2791" s="2" t="s">
        <v>6652</v>
      </c>
      <c r="B2791" s="2" t="s">
        <v>6653</v>
      </c>
      <c r="C2791" s="2" t="s">
        <v>36</v>
      </c>
      <c r="D2791" s="2" t="s">
        <v>37</v>
      </c>
      <c r="E2791" s="5">
        <v>-30109</v>
      </c>
      <c r="F2791" s="3" t="s">
        <v>205</v>
      </c>
      <c r="G2791" s="3" t="s">
        <v>282</v>
      </c>
      <c r="H2791" s="2" t="s">
        <v>21</v>
      </c>
      <c r="I2791" s="2" t="s">
        <v>6654</v>
      </c>
      <c r="J2791" s="3" t="str">
        <f>HYPERLINK("https://www.boe.es/gazeta/dias/1817/07/24/pdfs/GMD-1817-88.pdf#page=15","Abrir facsímil")</f>
        <v>Abrir facsímil</v>
      </c>
      <c r="K2791" s="3" t="s">
        <v>23</v>
      </c>
    </row>
    <row r="2792" spans="1:11" ht="42" customHeight="1">
      <c r="A2792" s="2" t="s">
        <v>6655</v>
      </c>
      <c r="B2792" s="2" t="s">
        <v>6656</v>
      </c>
      <c r="C2792" s="2" t="s">
        <v>55</v>
      </c>
      <c r="D2792" s="2" t="s">
        <v>44</v>
      </c>
      <c r="E2792" s="5">
        <v>-30093</v>
      </c>
      <c r="F2792" s="3" t="s">
        <v>230</v>
      </c>
      <c r="G2792" s="3" t="s">
        <v>77</v>
      </c>
      <c r="H2792" s="2" t="s">
        <v>21</v>
      </c>
      <c r="I2792" s="2" t="s">
        <v>6657</v>
      </c>
      <c r="J2792" s="3" t="str">
        <f>HYPERLINK("https://www.boe.es/gazeta/dias/1817/08/09/pdfs/GMD-1817-95.pdf#page=8","Abrir facsímil")</f>
        <v>Abrir facsímil</v>
      </c>
      <c r="K2792" s="3" t="s">
        <v>23</v>
      </c>
    </row>
    <row r="2793" spans="1:11" ht="42" customHeight="1">
      <c r="A2793" s="2" t="s">
        <v>6658</v>
      </c>
      <c r="B2793" s="2" t="s">
        <v>6659</v>
      </c>
      <c r="C2793" s="2" t="s">
        <v>49</v>
      </c>
      <c r="D2793" s="2" t="s">
        <v>44</v>
      </c>
      <c r="E2793" s="5">
        <v>-30058</v>
      </c>
      <c r="F2793" s="3" t="s">
        <v>1385</v>
      </c>
      <c r="G2793" s="3" t="s">
        <v>57</v>
      </c>
      <c r="H2793" s="2" t="s">
        <v>21</v>
      </c>
      <c r="I2793" s="2" t="s">
        <v>6660</v>
      </c>
      <c r="J2793" s="3" t="str">
        <f>HYPERLINK("https://www.boe.es/gazeta/dias/1817/09/13/pdfs/GMD-1817-110.pdf#page=6","Abrir facsímil")</f>
        <v>Abrir facsímil</v>
      </c>
      <c r="K2793" s="3" t="s">
        <v>23</v>
      </c>
    </row>
    <row r="2794" spans="1:11" ht="42" customHeight="1">
      <c r="A2794" s="2" t="s">
        <v>6661</v>
      </c>
      <c r="B2794" s="2" t="s">
        <v>6662</v>
      </c>
      <c r="C2794" s="2" t="s">
        <v>36</v>
      </c>
      <c r="D2794" s="2" t="s">
        <v>37</v>
      </c>
      <c r="E2794" s="5">
        <v>-30109</v>
      </c>
      <c r="F2794" s="3" t="s">
        <v>205</v>
      </c>
      <c r="G2794" s="3" t="s">
        <v>6663</v>
      </c>
      <c r="H2794" s="2" t="s">
        <v>21</v>
      </c>
      <c r="I2794" s="2" t="s">
        <v>6664</v>
      </c>
      <c r="J2794" s="3" t="str">
        <f>HYPERLINK("https://www.boe.es/gazeta/dias/1817/07/24/pdfs/GMD-1817-88.pdf#page=14","Abrir facsímil")</f>
        <v>Abrir facsímil</v>
      </c>
      <c r="K2794" s="3" t="s">
        <v>23</v>
      </c>
    </row>
    <row r="2795" spans="1:11" ht="42" customHeight="1">
      <c r="A2795" s="2" t="s">
        <v>6665</v>
      </c>
      <c r="B2795" s="2" t="s">
        <v>6666</v>
      </c>
      <c r="C2795" s="2" t="s">
        <v>43</v>
      </c>
      <c r="D2795" s="2" t="s">
        <v>44</v>
      </c>
      <c r="E2795" s="5">
        <v>-29988</v>
      </c>
      <c r="F2795" s="3" t="s">
        <v>569</v>
      </c>
      <c r="G2795" s="3" t="s">
        <v>57</v>
      </c>
      <c r="H2795" s="2" t="s">
        <v>21</v>
      </c>
      <c r="I2795" s="2" t="s">
        <v>6667</v>
      </c>
      <c r="J2795" s="3" t="str">
        <f>HYPERLINK("https://www.boe.es/gazeta/dias/1817/11/22/pdfs/GMD-1817-140.pdf#page=6","Abrir facsímil")</f>
        <v>Abrir facsímil</v>
      </c>
      <c r="K2795" s="3" t="s">
        <v>23</v>
      </c>
    </row>
    <row r="2796" spans="1:11" ht="42" customHeight="1">
      <c r="A2796" s="2" t="s">
        <v>6668</v>
      </c>
      <c r="B2796" s="2" t="s">
        <v>6669</v>
      </c>
      <c r="C2796" s="2" t="s">
        <v>36</v>
      </c>
      <c r="D2796" s="2" t="s">
        <v>37</v>
      </c>
      <c r="E2796" s="5">
        <v>-30104</v>
      </c>
      <c r="F2796" s="3" t="s">
        <v>856</v>
      </c>
      <c r="G2796" s="3" t="s">
        <v>39</v>
      </c>
      <c r="H2796" s="2" t="s">
        <v>21</v>
      </c>
      <c r="I2796" s="2" t="s">
        <v>6670</v>
      </c>
      <c r="J2796" s="3" t="str">
        <f>HYPERLINK("https://www.boe.es/gazeta/dias/1817/07/29/pdfs/GMD-1817-90.pdf#page=5","Abrir facsímil")</f>
        <v>Abrir facsímil</v>
      </c>
      <c r="K2796" s="3" t="s">
        <v>23</v>
      </c>
    </row>
    <row r="2797" spans="1:11" ht="42" customHeight="1">
      <c r="A2797" s="2" t="s">
        <v>6668</v>
      </c>
      <c r="B2797" s="2" t="s">
        <v>6669</v>
      </c>
      <c r="C2797" s="2" t="s">
        <v>36</v>
      </c>
      <c r="D2797" s="2" t="s">
        <v>37</v>
      </c>
      <c r="E2797" s="5">
        <v>-30104</v>
      </c>
      <c r="F2797" s="3" t="s">
        <v>856</v>
      </c>
      <c r="G2797" s="3" t="s">
        <v>57</v>
      </c>
      <c r="H2797" s="2" t="s">
        <v>21</v>
      </c>
      <c r="I2797" s="2" t="s">
        <v>6671</v>
      </c>
      <c r="J2797" s="3" t="str">
        <f>HYPERLINK("https://www.boe.es/gazeta/dias/1817/07/29/pdfs/GMD-1817-90.pdf#page=6","Abrir facsímil")</f>
        <v>Abrir facsímil</v>
      </c>
      <c r="K2797" s="3" t="s">
        <v>23</v>
      </c>
    </row>
    <row r="2798" spans="1:11" ht="42" customHeight="1">
      <c r="A2798" s="2" t="s">
        <v>6672</v>
      </c>
      <c r="B2798" s="2" t="s">
        <v>6673</v>
      </c>
      <c r="C2798" s="2" t="s">
        <v>36</v>
      </c>
      <c r="D2798" s="2" t="s">
        <v>37</v>
      </c>
      <c r="E2798" s="5">
        <v>-30261</v>
      </c>
      <c r="F2798" s="3" t="s">
        <v>226</v>
      </c>
      <c r="G2798" s="3" t="s">
        <v>57</v>
      </c>
      <c r="H2798" s="2" t="s">
        <v>21</v>
      </c>
      <c r="I2798" s="2" t="s">
        <v>6674</v>
      </c>
      <c r="J2798" s="3" t="str">
        <f>HYPERLINK("https://www.boe.es/gazeta/dias/1817/02/22/pdfs/GMD-1817-23.pdf#page=6","Abrir facsímil")</f>
        <v>Abrir facsímil</v>
      </c>
      <c r="K2798" s="3" t="s">
        <v>23</v>
      </c>
    </row>
    <row r="2799" spans="1:11" ht="42" customHeight="1">
      <c r="A2799" s="2" t="s">
        <v>6675</v>
      </c>
      <c r="B2799" s="2" t="s">
        <v>6676</v>
      </c>
      <c r="C2799" s="2" t="s">
        <v>17</v>
      </c>
      <c r="D2799" s="2" t="s">
        <v>18</v>
      </c>
      <c r="E2799" s="5">
        <v>-30247</v>
      </c>
      <c r="F2799" s="3" t="s">
        <v>1796</v>
      </c>
      <c r="G2799" s="3" t="s">
        <v>3311</v>
      </c>
      <c r="H2799" s="2" t="s">
        <v>21</v>
      </c>
      <c r="I2799" s="2" t="s">
        <v>6677</v>
      </c>
      <c r="J2799" s="3" t="str">
        <f>HYPERLINK("https://www.boe.es/gazeta/dias/1817/03/08/pdfs/GMD-1817-29.pdf#page=8","Abrir facsímil")</f>
        <v>Abrir facsímil</v>
      </c>
      <c r="K2799" s="3" t="s">
        <v>23</v>
      </c>
    </row>
    <row r="2800" spans="1:11" ht="42" customHeight="1">
      <c r="A2800" s="2" t="s">
        <v>6678</v>
      </c>
      <c r="B2800" s="2" t="s">
        <v>6679</v>
      </c>
      <c r="C2800" s="2" t="s">
        <v>17</v>
      </c>
      <c r="D2800" s="2" t="s">
        <v>18</v>
      </c>
      <c r="E2800" s="5">
        <v>-30226</v>
      </c>
      <c r="F2800" s="3" t="s">
        <v>416</v>
      </c>
      <c r="G2800" s="3" t="s">
        <v>77</v>
      </c>
      <c r="H2800" s="2" t="s">
        <v>21</v>
      </c>
      <c r="I2800" s="2" t="s">
        <v>6680</v>
      </c>
      <c r="J2800" s="3" t="str">
        <f>HYPERLINK("https://www.boe.es/gazeta/dias/1817/03/29/pdfs/GMD-1817-38.pdf#page=8","Abrir facsímil")</f>
        <v>Abrir facsímil</v>
      </c>
      <c r="K2800" s="3" t="s">
        <v>23</v>
      </c>
    </row>
    <row r="2801" spans="1:11" ht="42" customHeight="1">
      <c r="A2801" s="2" t="s">
        <v>6675</v>
      </c>
      <c r="B2801" s="2" t="s">
        <v>6676</v>
      </c>
      <c r="C2801" s="2" t="s">
        <v>17</v>
      </c>
      <c r="D2801" s="2" t="s">
        <v>18</v>
      </c>
      <c r="E2801" s="5">
        <v>-30086</v>
      </c>
      <c r="F2801" s="3" t="s">
        <v>221</v>
      </c>
      <c r="G2801" s="3" t="s">
        <v>222</v>
      </c>
      <c r="H2801" s="2" t="s">
        <v>21</v>
      </c>
      <c r="I2801" s="2" t="s">
        <v>6681</v>
      </c>
      <c r="J2801" s="3" t="str">
        <f>HYPERLINK("https://www.boe.es/gazeta/dias/1817/08/16/pdfs/GMD-1817-98.pdf#page=8","Abrir facsímil")</f>
        <v>Abrir facsímil</v>
      </c>
      <c r="K2801" s="3" t="s">
        <v>23</v>
      </c>
    </row>
    <row r="2802" spans="1:11" ht="42" customHeight="1">
      <c r="A2802" s="2" t="s">
        <v>6682</v>
      </c>
      <c r="B2802" s="2" t="s">
        <v>6683</v>
      </c>
      <c r="C2802" s="2" t="s">
        <v>55</v>
      </c>
      <c r="D2802" s="2" t="s">
        <v>44</v>
      </c>
      <c r="E2802" s="5">
        <v>-30181</v>
      </c>
      <c r="F2802" s="3" t="s">
        <v>3337</v>
      </c>
      <c r="G2802" s="3" t="s">
        <v>4311</v>
      </c>
      <c r="H2802" s="2" t="s">
        <v>21</v>
      </c>
      <c r="I2802" s="2" t="s">
        <v>6684</v>
      </c>
      <c r="J2802" s="3" t="str">
        <f>HYPERLINK("https://www.boe.es/gazeta/dias/1817/05/13/pdfs/GMD-1817-57.pdf#page=8","Abrir facsímil")</f>
        <v>Abrir facsímil</v>
      </c>
      <c r="K2802" s="3" t="s">
        <v>23</v>
      </c>
    </row>
    <row r="2803" spans="1:11" ht="42" customHeight="1">
      <c r="A2803" s="2" t="s">
        <v>6685</v>
      </c>
      <c r="B2803" s="2" t="s">
        <v>6686</v>
      </c>
      <c r="C2803" s="2" t="s">
        <v>36</v>
      </c>
      <c r="D2803" s="2" t="s">
        <v>37</v>
      </c>
      <c r="E2803" s="5">
        <v>-29981</v>
      </c>
      <c r="F2803" s="3" t="s">
        <v>111</v>
      </c>
      <c r="G2803" s="3" t="s">
        <v>82</v>
      </c>
      <c r="H2803" s="2" t="s">
        <v>27</v>
      </c>
      <c r="I2803" s="2" t="s">
        <v>6687</v>
      </c>
      <c r="J2803" s="3" t="str">
        <f>HYPERLINK("https://www.boe.es/gazeta/dias/1817/11/29/pdfs/GMD-1817-143.pdf#page=12","Abrir facsímil")</f>
        <v>Abrir facsímil</v>
      </c>
      <c r="K2803" s="3" t="s">
        <v>29</v>
      </c>
    </row>
    <row r="2804" spans="1:11" ht="42" customHeight="1">
      <c r="A2804" s="2" t="s">
        <v>6688</v>
      </c>
      <c r="B2804" s="2" t="s">
        <v>6689</v>
      </c>
      <c r="C2804" s="2" t="s">
        <v>36</v>
      </c>
      <c r="D2804" s="2" t="s">
        <v>37</v>
      </c>
      <c r="E2804" s="5">
        <v>-29981</v>
      </c>
      <c r="F2804" s="3" t="s">
        <v>111</v>
      </c>
      <c r="G2804" s="3" t="s">
        <v>82</v>
      </c>
      <c r="H2804" s="2" t="s">
        <v>21</v>
      </c>
      <c r="I2804" s="2" t="s">
        <v>6690</v>
      </c>
      <c r="J2804" s="3" t="str">
        <f>HYPERLINK("https://www.boe.es/gazeta/dias/1817/11/29/pdfs/GMD-1817-143.pdf#page=12","Abrir facsímil")</f>
        <v>Abrir facsímil</v>
      </c>
      <c r="K2804" s="3" t="s">
        <v>23</v>
      </c>
    </row>
    <row r="2805" spans="1:11" ht="42" customHeight="1">
      <c r="A2805" s="2" t="s">
        <v>6691</v>
      </c>
      <c r="B2805" s="2" t="s">
        <v>6691</v>
      </c>
      <c r="C2805" s="2" t="s">
        <v>36</v>
      </c>
      <c r="D2805" s="2" t="s">
        <v>37</v>
      </c>
      <c r="E2805" s="5">
        <v>-30291</v>
      </c>
      <c r="F2805" s="3" t="s">
        <v>1041</v>
      </c>
      <c r="G2805" s="3" t="s">
        <v>551</v>
      </c>
      <c r="H2805" s="2" t="s">
        <v>21</v>
      </c>
      <c r="I2805" s="2" t="s">
        <v>6692</v>
      </c>
      <c r="J2805" s="3" t="str">
        <f>HYPERLINK("https://www.boe.es/gazeta/dias/1817/01/23/pdfs/GMD-1817-10.pdf#page=3","Abrir facsímil")</f>
        <v>Abrir facsímil</v>
      </c>
      <c r="K2805" s="3" t="s">
        <v>23</v>
      </c>
    </row>
    <row r="2806" spans="1:11" ht="42" customHeight="1">
      <c r="A2806" s="2" t="s">
        <v>6691</v>
      </c>
      <c r="B2806" s="2" t="s">
        <v>6691</v>
      </c>
      <c r="C2806" s="2" t="s">
        <v>36</v>
      </c>
      <c r="D2806" s="2" t="s">
        <v>37</v>
      </c>
      <c r="E2806" s="5">
        <v>-30268</v>
      </c>
      <c r="F2806" s="3" t="s">
        <v>1160</v>
      </c>
      <c r="G2806" s="3" t="s">
        <v>629</v>
      </c>
      <c r="H2806" s="2" t="s">
        <v>21</v>
      </c>
      <c r="I2806" s="2" t="s">
        <v>6693</v>
      </c>
      <c r="J2806" s="3" t="str">
        <f>HYPERLINK("https://www.boe.es/gazeta/dias/1817/02/15/pdfs/GMD-1817-20.pdf#page=2","Abrir facsímil")</f>
        <v>Abrir facsímil</v>
      </c>
      <c r="K2806" s="3" t="s">
        <v>23</v>
      </c>
    </row>
    <row r="2807" spans="1:11" ht="42" customHeight="1">
      <c r="A2807" s="2" t="s">
        <v>6691</v>
      </c>
      <c r="B2807" s="2" t="s">
        <v>6691</v>
      </c>
      <c r="C2807" s="2" t="s">
        <v>36</v>
      </c>
      <c r="D2807" s="2" t="s">
        <v>37</v>
      </c>
      <c r="E2807" s="5">
        <v>-30261</v>
      </c>
      <c r="F2807" s="3" t="s">
        <v>226</v>
      </c>
      <c r="G2807" s="3" t="s">
        <v>72</v>
      </c>
      <c r="H2807" s="2" t="s">
        <v>21</v>
      </c>
      <c r="I2807" s="2" t="s">
        <v>6694</v>
      </c>
      <c r="J2807" s="3" t="str">
        <f>HYPERLINK("https://www.boe.es/gazeta/dias/1817/02/22/pdfs/GMD-1817-23.pdf#page=1","Abrir facsímil")</f>
        <v>Abrir facsímil</v>
      </c>
      <c r="K2807" s="3" t="s">
        <v>23</v>
      </c>
    </row>
    <row r="2808" spans="1:11" ht="42" customHeight="1">
      <c r="A2808" s="2" t="s">
        <v>6695</v>
      </c>
      <c r="B2808" s="2" t="s">
        <v>6696</v>
      </c>
      <c r="C2808" s="2" t="s">
        <v>43</v>
      </c>
      <c r="D2808" s="2" t="s">
        <v>44</v>
      </c>
      <c r="E2808" s="5">
        <v>-30123</v>
      </c>
      <c r="F2808" s="3" t="s">
        <v>848</v>
      </c>
      <c r="G2808" s="3" t="s">
        <v>3877</v>
      </c>
      <c r="H2808" s="2" t="s">
        <v>21</v>
      </c>
      <c r="I2808" s="2" t="s">
        <v>6697</v>
      </c>
      <c r="J2808" s="3" t="str">
        <f>HYPERLINK("https://www.boe.es/gazeta/dias/1817/07/10/pdfs/GMD-1817-82.pdf#page=8","Abrir facsímil")</f>
        <v>Abrir facsímil</v>
      </c>
      <c r="K2808" s="3" t="s">
        <v>23</v>
      </c>
    </row>
    <row r="2809" spans="1:11" ht="42" customHeight="1">
      <c r="A2809" s="2" t="s">
        <v>6698</v>
      </c>
      <c r="B2809" s="2" t="s">
        <v>6699</v>
      </c>
      <c r="C2809" s="2" t="s">
        <v>36</v>
      </c>
      <c r="D2809" s="2" t="s">
        <v>37</v>
      </c>
      <c r="E2809" s="5">
        <v>-30200</v>
      </c>
      <c r="F2809" s="3" t="s">
        <v>725</v>
      </c>
      <c r="G2809" s="3" t="s">
        <v>57</v>
      </c>
      <c r="H2809" s="2" t="s">
        <v>21</v>
      </c>
      <c r="I2809" s="2" t="s">
        <v>6700</v>
      </c>
      <c r="J2809" s="3" t="str">
        <f>HYPERLINK("https://www.boe.es/gazeta/dias/1817/04/24/pdfs/GMD-1817-49.pdf#page=6","Abrir facsímil")</f>
        <v>Abrir facsímil</v>
      </c>
      <c r="K2809" s="3" t="s">
        <v>23</v>
      </c>
    </row>
    <row r="2810" spans="1:11" ht="42" customHeight="1">
      <c r="A2810" s="2" t="s">
        <v>6701</v>
      </c>
      <c r="B2810" s="2" t="s">
        <v>6702</v>
      </c>
      <c r="C2810" s="2" t="s">
        <v>17</v>
      </c>
      <c r="D2810" s="2" t="s">
        <v>18</v>
      </c>
      <c r="E2810" s="5">
        <v>-30048</v>
      </c>
      <c r="F2810" s="3" t="s">
        <v>573</v>
      </c>
      <c r="G2810" s="3" t="s">
        <v>20</v>
      </c>
      <c r="H2810" s="2" t="s">
        <v>27</v>
      </c>
      <c r="I2810" s="2" t="s">
        <v>6703</v>
      </c>
      <c r="J2810" s="3" t="str">
        <f>HYPERLINK("https://www.boe.es/gazeta/dias/1817/09/23/pdfs/GMD-1817-114.pdf#page=7","Abrir facsímil")</f>
        <v>Abrir facsímil</v>
      </c>
      <c r="K2810" s="3" t="s">
        <v>29</v>
      </c>
    </row>
    <row r="2811" spans="1:11" ht="42" customHeight="1">
      <c r="A2811" s="2" t="s">
        <v>6704</v>
      </c>
      <c r="B2811" s="2" t="s">
        <v>6705</v>
      </c>
      <c r="C2811" s="2" t="s">
        <v>43</v>
      </c>
      <c r="D2811" s="2" t="s">
        <v>44</v>
      </c>
      <c r="E2811" s="5">
        <v>-29983</v>
      </c>
      <c r="F2811" s="3" t="s">
        <v>148</v>
      </c>
      <c r="G2811" s="3" t="s">
        <v>1214</v>
      </c>
      <c r="H2811" s="2" t="s">
        <v>21</v>
      </c>
      <c r="I2811" s="2" t="s">
        <v>6706</v>
      </c>
      <c r="J2811" s="3" t="str">
        <f>HYPERLINK("https://www.boe.es/gazeta/dias/1817/11/27/pdfs/GMD-1817-142.pdf#page=5","Abrir facsímil")</f>
        <v>Abrir facsímil</v>
      </c>
      <c r="K2811" s="3" t="s">
        <v>23</v>
      </c>
    </row>
    <row r="2812" spans="1:11" ht="42" customHeight="1">
      <c r="A2812" s="2" t="s">
        <v>6707</v>
      </c>
      <c r="B2812" s="2" t="s">
        <v>6707</v>
      </c>
      <c r="C2812" s="2" t="s">
        <v>43</v>
      </c>
      <c r="D2812" s="2" t="s">
        <v>44</v>
      </c>
      <c r="E2812" s="5">
        <v>-30179</v>
      </c>
      <c r="F2812" s="3" t="s">
        <v>391</v>
      </c>
      <c r="G2812" s="3" t="s">
        <v>629</v>
      </c>
      <c r="H2812" s="2" t="s">
        <v>21</v>
      </c>
      <c r="I2812" s="2" t="s">
        <v>6708</v>
      </c>
      <c r="J2812" s="3" t="str">
        <f>HYPERLINK("https://www.boe.es/gazeta/dias/1817/05/15/pdfs/GMD-1817-58.pdf#page=2","Abrir facsímil")</f>
        <v>Abrir facsímil</v>
      </c>
      <c r="K2812" s="3" t="s">
        <v>23</v>
      </c>
    </row>
    <row r="2813" spans="1:11" ht="42" customHeight="1">
      <c r="A2813" s="2" t="s">
        <v>6709</v>
      </c>
      <c r="B2813" s="2" t="s">
        <v>6710</v>
      </c>
      <c r="C2813" s="2" t="s">
        <v>36</v>
      </c>
      <c r="D2813" s="2" t="s">
        <v>37</v>
      </c>
      <c r="E2813" s="5">
        <v>-30009</v>
      </c>
      <c r="F2813" s="3" t="s">
        <v>512</v>
      </c>
      <c r="G2813" s="3" t="s">
        <v>144</v>
      </c>
      <c r="H2813" s="2" t="s">
        <v>21</v>
      </c>
      <c r="I2813" s="2" t="s">
        <v>6711</v>
      </c>
      <c r="J2813" s="3" t="str">
        <f>HYPERLINK("https://www.boe.es/gazeta/dias/1817/11/01/pdfs/GMD-1817-131.pdf#page=4","Abrir facsímil")</f>
        <v>Abrir facsímil</v>
      </c>
      <c r="K2813" s="3" t="s">
        <v>23</v>
      </c>
    </row>
    <row r="2814" spans="1:11" ht="42" customHeight="1">
      <c r="A2814" s="2" t="s">
        <v>6712</v>
      </c>
      <c r="B2814" s="2" t="s">
        <v>6713</v>
      </c>
      <c r="C2814" s="2" t="s">
        <v>36</v>
      </c>
      <c r="D2814" s="2" t="s">
        <v>37</v>
      </c>
      <c r="E2814" s="5">
        <v>-30004</v>
      </c>
      <c r="F2814" s="3" t="s">
        <v>329</v>
      </c>
      <c r="G2814" s="3" t="s">
        <v>20</v>
      </c>
      <c r="H2814" s="2" t="s">
        <v>21</v>
      </c>
      <c r="I2814" s="2" t="s">
        <v>6714</v>
      </c>
      <c r="J2814" s="3" t="str">
        <f>HYPERLINK("https://www.boe.es/gazeta/dias/1817/11/06/pdfs/GMD-1817-133.pdf#page=7","Abrir facsímil")</f>
        <v>Abrir facsímil</v>
      </c>
      <c r="K2814" s="3" t="s">
        <v>23</v>
      </c>
    </row>
    <row r="2815" spans="1:11" ht="42" customHeight="1">
      <c r="A2815" s="2" t="s">
        <v>6715</v>
      </c>
      <c r="B2815" s="2" t="s">
        <v>6716</v>
      </c>
      <c r="C2815" s="2" t="s">
        <v>36</v>
      </c>
      <c r="D2815" s="2" t="s">
        <v>37</v>
      </c>
      <c r="E2815" s="5">
        <v>-29957</v>
      </c>
      <c r="F2815" s="3" t="s">
        <v>1001</v>
      </c>
      <c r="G2815" s="3" t="s">
        <v>20</v>
      </c>
      <c r="H2815" s="2" t="s">
        <v>21</v>
      </c>
      <c r="I2815" s="2" t="s">
        <v>6717</v>
      </c>
      <c r="J2815" s="3" t="str">
        <f>HYPERLINK("https://www.boe.es/gazeta/dias/1817/12/23/pdfs/GMD-1817-153.pdf#page=7","Abrir facsímil")</f>
        <v>Abrir facsímil</v>
      </c>
      <c r="K2815" s="3" t="s">
        <v>23</v>
      </c>
    </row>
    <row r="2816" spans="1:11" ht="42" customHeight="1">
      <c r="A2816" s="2" t="s">
        <v>6718</v>
      </c>
      <c r="B2816" s="2" t="s">
        <v>6718</v>
      </c>
      <c r="C2816" s="2" t="s">
        <v>510</v>
      </c>
      <c r="D2816" s="2" t="s">
        <v>44</v>
      </c>
      <c r="E2816" s="5">
        <v>-29967</v>
      </c>
      <c r="F2816" s="3" t="s">
        <v>183</v>
      </c>
      <c r="G2816" s="3" t="s">
        <v>144</v>
      </c>
      <c r="H2816" s="2" t="s">
        <v>21</v>
      </c>
      <c r="I2816" s="2" t="s">
        <v>6719</v>
      </c>
      <c r="J2816" s="3" t="str">
        <f>HYPERLINK("https://www.boe.es/gazeta/dias/1817/12/13/pdfs/GMD-1817-149.pdf#page=4","Abrir facsímil")</f>
        <v>Abrir facsímil</v>
      </c>
      <c r="K2816" s="3" t="s">
        <v>23</v>
      </c>
    </row>
    <row r="2817" spans="1:11" ht="42" customHeight="1">
      <c r="A2817" s="2" t="s">
        <v>6720</v>
      </c>
      <c r="B2817" s="2" t="s">
        <v>6720</v>
      </c>
      <c r="C2817" s="2" t="s">
        <v>43</v>
      </c>
      <c r="D2817" s="2" t="s">
        <v>44</v>
      </c>
      <c r="E2817" s="5">
        <v>-29967</v>
      </c>
      <c r="F2817" s="3" t="s">
        <v>183</v>
      </c>
      <c r="G2817" s="3" t="s">
        <v>144</v>
      </c>
      <c r="H2817" s="2" t="s">
        <v>21</v>
      </c>
      <c r="I2817" s="2" t="s">
        <v>6721</v>
      </c>
      <c r="J2817" s="3" t="str">
        <f>HYPERLINK("https://www.boe.es/gazeta/dias/1817/12/13/pdfs/GMD-1817-149.pdf#page=4","Abrir facsímil")</f>
        <v>Abrir facsímil</v>
      </c>
      <c r="K2817" s="3" t="s">
        <v>23</v>
      </c>
    </row>
    <row r="2818" spans="1:11" ht="42" customHeight="1">
      <c r="A2818" s="2" t="s">
        <v>6720</v>
      </c>
      <c r="B2818" s="2" t="s">
        <v>6720</v>
      </c>
      <c r="C2818" s="2" t="s">
        <v>36</v>
      </c>
      <c r="D2818" s="2" t="s">
        <v>37</v>
      </c>
      <c r="E2818" s="5">
        <v>-29967</v>
      </c>
      <c r="F2818" s="3" t="s">
        <v>183</v>
      </c>
      <c r="G2818" s="3" t="s">
        <v>57</v>
      </c>
      <c r="H2818" s="2" t="s">
        <v>21</v>
      </c>
      <c r="I2818" s="2" t="s">
        <v>6722</v>
      </c>
      <c r="J2818" s="3" t="str">
        <f>HYPERLINK("https://www.boe.es/gazeta/dias/1817/12/13/pdfs/GMD-1817-149.pdf#page=6","Abrir facsímil")</f>
        <v>Abrir facsímil</v>
      </c>
      <c r="K2818" s="3" t="s">
        <v>23</v>
      </c>
    </row>
    <row r="2819" spans="1:11" ht="42" customHeight="1">
      <c r="A2819" s="2" t="s">
        <v>6723</v>
      </c>
      <c r="B2819" s="2" t="s">
        <v>6723</v>
      </c>
      <c r="C2819" s="2" t="s">
        <v>36</v>
      </c>
      <c r="D2819" s="2" t="s">
        <v>37</v>
      </c>
      <c r="E2819" s="5">
        <v>-30041</v>
      </c>
      <c r="F2819" s="3" t="s">
        <v>260</v>
      </c>
      <c r="G2819" s="3" t="s">
        <v>77</v>
      </c>
      <c r="H2819" s="2" t="s">
        <v>21</v>
      </c>
      <c r="I2819" s="2" t="s">
        <v>6724</v>
      </c>
      <c r="J2819" s="3" t="str">
        <f>HYPERLINK("https://www.boe.es/gazeta/dias/1817/09/30/pdfs/GMD-1817-117.pdf#page=8","Abrir facsímil")</f>
        <v>Abrir facsímil</v>
      </c>
      <c r="K2819" s="3" t="s">
        <v>23</v>
      </c>
    </row>
    <row r="2820" spans="1:11" ht="42" customHeight="1">
      <c r="A2820" s="2" t="s">
        <v>6725</v>
      </c>
      <c r="B2820" s="2" t="s">
        <v>6726</v>
      </c>
      <c r="C2820" s="2" t="s">
        <v>17</v>
      </c>
      <c r="D2820" s="2" t="s">
        <v>18</v>
      </c>
      <c r="E2820" s="5">
        <v>-29997</v>
      </c>
      <c r="F2820" s="3" t="s">
        <v>652</v>
      </c>
      <c r="G2820" s="3" t="s">
        <v>57</v>
      </c>
      <c r="H2820" s="2" t="s">
        <v>21</v>
      </c>
      <c r="I2820" s="2" t="s">
        <v>6727</v>
      </c>
      <c r="J2820" s="3" t="str">
        <f>HYPERLINK("https://www.boe.es/gazeta/dias/1817/11/13/pdfs/GMD-1817-136.pdf#page=6","Abrir facsímil")</f>
        <v>Abrir facsímil</v>
      </c>
      <c r="K2820" s="3" t="s">
        <v>23</v>
      </c>
    </row>
    <row r="2821" spans="1:11" ht="42" customHeight="1">
      <c r="A2821" s="2" t="s">
        <v>6728</v>
      </c>
      <c r="B2821" s="2" t="s">
        <v>6729</v>
      </c>
      <c r="C2821" s="2" t="s">
        <v>36</v>
      </c>
      <c r="D2821" s="2" t="s">
        <v>37</v>
      </c>
      <c r="E2821" s="5">
        <v>-30223</v>
      </c>
      <c r="F2821" s="3" t="s">
        <v>627</v>
      </c>
      <c r="G2821" s="3" t="s">
        <v>1721</v>
      </c>
      <c r="H2821" s="2" t="s">
        <v>21</v>
      </c>
      <c r="I2821" s="2" t="s">
        <v>6730</v>
      </c>
      <c r="J2821" s="3" t="str">
        <f>HYPERLINK("https://www.boe.es/gazeta/dias/1817/04/01/pdfs/GMD-1817-39.pdf#page=7","Abrir facsímil")</f>
        <v>Abrir facsímil</v>
      </c>
      <c r="K2821" s="3" t="s">
        <v>23</v>
      </c>
    </row>
    <row r="2822" spans="1:11" ht="42" customHeight="1">
      <c r="A2822" s="2" t="s">
        <v>6731</v>
      </c>
      <c r="B2822" s="2" t="s">
        <v>6732</v>
      </c>
      <c r="C2822" s="2" t="s">
        <v>17</v>
      </c>
      <c r="D2822" s="2" t="s">
        <v>18</v>
      </c>
      <c r="E2822" s="5">
        <v>-30055</v>
      </c>
      <c r="F2822" s="3" t="s">
        <v>71</v>
      </c>
      <c r="G2822" s="3" t="s">
        <v>82</v>
      </c>
      <c r="H2822" s="2" t="s">
        <v>21</v>
      </c>
      <c r="I2822" s="2" t="s">
        <v>6733</v>
      </c>
      <c r="J2822" s="3" t="str">
        <f>HYPERLINK("https://www.boe.es/gazeta/dias/1817/09/16/pdfs/GMD-1817-111.pdf#page=12","Abrir facsímil")</f>
        <v>Abrir facsímil</v>
      </c>
      <c r="K2822" s="3" t="s">
        <v>23</v>
      </c>
    </row>
    <row r="2823" spans="1:11" ht="42" customHeight="1">
      <c r="A2823" s="2" t="s">
        <v>6734</v>
      </c>
      <c r="B2823" s="2" t="s">
        <v>6735</v>
      </c>
      <c r="C2823" s="2" t="s">
        <v>43</v>
      </c>
      <c r="D2823" s="2" t="s">
        <v>44</v>
      </c>
      <c r="E2823" s="5">
        <v>-30244</v>
      </c>
      <c r="F2823" s="3" t="s">
        <v>1482</v>
      </c>
      <c r="G2823" s="3" t="s">
        <v>1483</v>
      </c>
      <c r="H2823" s="2" t="s">
        <v>21</v>
      </c>
      <c r="I2823" s="2" t="s">
        <v>6736</v>
      </c>
      <c r="J2823" s="3" t="str">
        <f>HYPERLINK("https://www.boe.es/gazeta/dias/1817/03/11/pdfs/GMD-1817-30.pdf#page=7","Abrir facsímil")</f>
        <v>Abrir facsímil</v>
      </c>
      <c r="K2823" s="3" t="s">
        <v>23</v>
      </c>
    </row>
    <row r="2824" spans="1:11" ht="42" customHeight="1">
      <c r="A2824" s="2" t="s">
        <v>6737</v>
      </c>
      <c r="B2824" s="2" t="s">
        <v>6738</v>
      </c>
      <c r="C2824" s="2" t="s">
        <v>43</v>
      </c>
      <c r="D2824" s="2" t="s">
        <v>44</v>
      </c>
      <c r="E2824" s="5">
        <v>-30310</v>
      </c>
      <c r="F2824" s="3" t="s">
        <v>93</v>
      </c>
      <c r="G2824" s="3" t="s">
        <v>20</v>
      </c>
      <c r="H2824" s="2" t="s">
        <v>21</v>
      </c>
      <c r="I2824" s="2" t="s">
        <v>6739</v>
      </c>
      <c r="J2824" s="3" t="str">
        <f>HYPERLINK("https://www.boe.es/gazeta/dias/1817/01/04/pdfs/GMD-1817-2.pdf#page=7","Abrir facsímil")</f>
        <v>Abrir facsímil</v>
      </c>
      <c r="K2824" s="3" t="s">
        <v>23</v>
      </c>
    </row>
    <row r="2825" spans="1:11" ht="42" customHeight="1">
      <c r="A2825" s="2" t="s">
        <v>6740</v>
      </c>
      <c r="B2825" s="2" t="s">
        <v>6741</v>
      </c>
      <c r="C2825" s="2" t="s">
        <v>36</v>
      </c>
      <c r="D2825" s="2" t="s">
        <v>37</v>
      </c>
      <c r="E2825" s="5">
        <v>-30027</v>
      </c>
      <c r="F2825" s="3" t="s">
        <v>173</v>
      </c>
      <c r="G2825" s="3" t="s">
        <v>708</v>
      </c>
      <c r="H2825" s="2" t="s">
        <v>21</v>
      </c>
      <c r="I2825" s="2" t="s">
        <v>6742</v>
      </c>
      <c r="J2825" s="3" t="str">
        <f>HYPERLINK("https://www.boe.es/gazeta/dias/1817/10/14/pdfs/GMD-1817-123.pdf#page=6","Abrir facsímil")</f>
        <v>Abrir facsímil</v>
      </c>
      <c r="K2825" s="3" t="s">
        <v>23</v>
      </c>
    </row>
    <row r="2826" spans="1:11" ht="42" customHeight="1">
      <c r="A2826" s="2" t="s">
        <v>6743</v>
      </c>
      <c r="B2826" s="2" t="s">
        <v>6743</v>
      </c>
      <c r="C2826" s="2" t="s">
        <v>17</v>
      </c>
      <c r="D2826" s="2" t="s">
        <v>18</v>
      </c>
      <c r="E2826" s="5">
        <v>-29990</v>
      </c>
      <c r="F2826" s="3" t="s">
        <v>542</v>
      </c>
      <c r="G2826" s="3" t="s">
        <v>629</v>
      </c>
      <c r="H2826" s="2" t="s">
        <v>21</v>
      </c>
      <c r="I2826" s="2" t="s">
        <v>6744</v>
      </c>
      <c r="J2826" s="3" t="str">
        <f>HYPERLINK("https://www.boe.es/gazeta/dias/1817/11/20/pdfs/GMD-1817-139.pdf#page=2","Abrir facsímil")</f>
        <v>Abrir facsímil</v>
      </c>
      <c r="K2826" s="3" t="s">
        <v>23</v>
      </c>
    </row>
    <row r="2827" spans="1:11" ht="42" customHeight="1">
      <c r="A2827" s="2" t="s">
        <v>6745</v>
      </c>
      <c r="B2827" s="2" t="s">
        <v>6746</v>
      </c>
      <c r="C2827" s="2" t="s">
        <v>17</v>
      </c>
      <c r="D2827" s="2" t="s">
        <v>18</v>
      </c>
      <c r="E2827" s="5">
        <v>-30153</v>
      </c>
      <c r="F2827" s="3" t="s">
        <v>843</v>
      </c>
      <c r="G2827" s="3" t="s">
        <v>57</v>
      </c>
      <c r="H2827" s="2" t="s">
        <v>21</v>
      </c>
      <c r="I2827" s="2" t="s">
        <v>6747</v>
      </c>
      <c r="J2827" s="3" t="str">
        <f>HYPERLINK("https://www.boe.es/gazeta/dias/1817/06/10/pdfs/GMD-1817-69.pdf#page=6","Abrir facsímil")</f>
        <v>Abrir facsímil</v>
      </c>
      <c r="K2827" s="3" t="s">
        <v>23</v>
      </c>
    </row>
    <row r="2828" spans="1:11" ht="42" customHeight="1">
      <c r="A2828" s="2" t="s">
        <v>6748</v>
      </c>
      <c r="B2828" s="2" t="s">
        <v>6748</v>
      </c>
      <c r="C2828" s="2" t="s">
        <v>36</v>
      </c>
      <c r="D2828" s="2" t="s">
        <v>37</v>
      </c>
      <c r="E2828" s="5">
        <v>-29999</v>
      </c>
      <c r="F2828" s="3" t="s">
        <v>471</v>
      </c>
      <c r="G2828" s="3" t="s">
        <v>650</v>
      </c>
      <c r="H2828" s="2" t="s">
        <v>21</v>
      </c>
      <c r="I2828" s="2" t="s">
        <v>6749</v>
      </c>
      <c r="J2828" s="3" t="str">
        <f>HYPERLINK("https://www.boe.es/gazeta/dias/1817/11/11/pdfs/GMD-1817-135.pdf#page=5","Abrir facsímil")</f>
        <v>Abrir facsímil</v>
      </c>
      <c r="K2828" s="3" t="s">
        <v>23</v>
      </c>
    </row>
    <row r="2829" spans="1:11" ht="42" customHeight="1">
      <c r="A2829" s="2" t="s">
        <v>6750</v>
      </c>
      <c r="B2829" s="2" t="s">
        <v>6751</v>
      </c>
      <c r="C2829" s="2" t="s">
        <v>36</v>
      </c>
      <c r="D2829" s="2" t="s">
        <v>37</v>
      </c>
      <c r="E2829" s="5">
        <v>-30167</v>
      </c>
      <c r="F2829" s="3" t="s">
        <v>153</v>
      </c>
      <c r="G2829" s="3" t="s">
        <v>20</v>
      </c>
      <c r="H2829" s="2" t="s">
        <v>21</v>
      </c>
      <c r="I2829" s="2" t="s">
        <v>6752</v>
      </c>
      <c r="J2829" s="3" t="str">
        <f>HYPERLINK("https://www.boe.es/gazeta/dias/1817/05/27/pdfs/GMD-1817-63.pdf#page=7","Abrir facsímil")</f>
        <v>Abrir facsímil</v>
      </c>
      <c r="K2829" s="3" t="s">
        <v>23</v>
      </c>
    </row>
    <row r="2830" spans="1:11" ht="42" customHeight="1">
      <c r="A2830" s="2" t="s">
        <v>6753</v>
      </c>
      <c r="B2830" s="2" t="s">
        <v>6754</v>
      </c>
      <c r="C2830" s="2" t="s">
        <v>97</v>
      </c>
      <c r="D2830" s="2" t="s">
        <v>44</v>
      </c>
      <c r="E2830" s="5">
        <v>-30100</v>
      </c>
      <c r="F2830" s="3" t="s">
        <v>436</v>
      </c>
      <c r="G2830" s="3" t="s">
        <v>77</v>
      </c>
      <c r="H2830" s="2" t="s">
        <v>27</v>
      </c>
      <c r="I2830" s="2" t="s">
        <v>6755</v>
      </c>
      <c r="J2830" s="3" t="str">
        <f>HYPERLINK("https://www.boe.es/gazeta/dias/1817/08/02/pdfs/GMD-1817-92.pdf#page=8","Abrir facsímil")</f>
        <v>Abrir facsímil</v>
      </c>
      <c r="K2830" s="3" t="s">
        <v>29</v>
      </c>
    </row>
    <row r="2831" spans="1:11" ht="42" customHeight="1">
      <c r="A2831" s="2" t="s">
        <v>6756</v>
      </c>
      <c r="B2831" s="2" t="s">
        <v>6757</v>
      </c>
      <c r="C2831" s="2" t="s">
        <v>97</v>
      </c>
      <c r="D2831" s="2" t="s">
        <v>44</v>
      </c>
      <c r="E2831" s="5">
        <v>-30146</v>
      </c>
      <c r="F2831" s="3" t="s">
        <v>1005</v>
      </c>
      <c r="G2831" s="3" t="s">
        <v>1006</v>
      </c>
      <c r="H2831" s="2" t="s">
        <v>21</v>
      </c>
      <c r="I2831" s="2" t="s">
        <v>6758</v>
      </c>
      <c r="J2831" s="3" t="str">
        <f>HYPERLINK("https://www.boe.es/gazeta/dias/1817/06/17/pdfs/GMD-1817-72.pdf#page=8","Abrir facsímil")</f>
        <v>Abrir facsímil</v>
      </c>
      <c r="K2831" s="3" t="s">
        <v>23</v>
      </c>
    </row>
    <row r="2832" spans="1:11" ht="42" customHeight="1">
      <c r="A2832" s="2" t="s">
        <v>6759</v>
      </c>
      <c r="B2832" s="2" t="s">
        <v>6760</v>
      </c>
      <c r="C2832" s="2" t="s">
        <v>17</v>
      </c>
      <c r="D2832" s="2" t="s">
        <v>18</v>
      </c>
      <c r="E2832" s="5">
        <v>-30247</v>
      </c>
      <c r="F2832" s="3" t="s">
        <v>1796</v>
      </c>
      <c r="G2832" s="3" t="s">
        <v>3311</v>
      </c>
      <c r="H2832" s="2" t="s">
        <v>21</v>
      </c>
      <c r="I2832" s="2" t="s">
        <v>6761</v>
      </c>
      <c r="J2832" s="3" t="str">
        <f>HYPERLINK("https://www.boe.es/gazeta/dias/1817/03/08/pdfs/GMD-1817-29.pdf#page=8","Abrir facsímil")</f>
        <v>Abrir facsímil</v>
      </c>
      <c r="K2832" s="3" t="s">
        <v>23</v>
      </c>
    </row>
    <row r="2833" spans="1:11" ht="42" customHeight="1">
      <c r="A2833" s="2" t="s">
        <v>6762</v>
      </c>
      <c r="B2833" s="2" t="s">
        <v>6763</v>
      </c>
      <c r="C2833" s="2" t="s">
        <v>49</v>
      </c>
      <c r="D2833" s="2" t="s">
        <v>44</v>
      </c>
      <c r="E2833" s="5">
        <v>-30002</v>
      </c>
      <c r="F2833" s="3" t="s">
        <v>469</v>
      </c>
      <c r="G2833" s="3" t="s">
        <v>77</v>
      </c>
      <c r="H2833" s="2" t="s">
        <v>21</v>
      </c>
      <c r="I2833" s="2" t="s">
        <v>6764</v>
      </c>
      <c r="J2833" s="3" t="str">
        <f>HYPERLINK("https://www.boe.es/gazeta/dias/1817/11/08/pdfs/GMD-1817-134.pdf#page=8","Abrir facsímil")</f>
        <v>Abrir facsímil</v>
      </c>
      <c r="K2833" s="3" t="s">
        <v>23</v>
      </c>
    </row>
    <row r="2834" spans="1:11" ht="42" customHeight="1">
      <c r="A2834" s="2" t="s">
        <v>6765</v>
      </c>
      <c r="B2834" s="2" t="s">
        <v>6766</v>
      </c>
      <c r="C2834" s="2" t="s">
        <v>17</v>
      </c>
      <c r="D2834" s="2" t="s">
        <v>18</v>
      </c>
      <c r="E2834" s="5">
        <v>-30174</v>
      </c>
      <c r="F2834" s="3" t="s">
        <v>19</v>
      </c>
      <c r="G2834" s="3" t="s">
        <v>6767</v>
      </c>
      <c r="H2834" s="2" t="s">
        <v>21</v>
      </c>
      <c r="I2834" s="2" t="s">
        <v>6768</v>
      </c>
      <c r="J2834" s="3" t="str">
        <f>HYPERLINK("https://www.boe.es/gazeta/dias/1817/05/20/pdfs/GMD-1817-60.pdf#page=8","Abrir facsímil")</f>
        <v>Abrir facsímil</v>
      </c>
      <c r="K2834" s="3" t="s">
        <v>23</v>
      </c>
    </row>
    <row r="2835" spans="1:11" ht="42" customHeight="1">
      <c r="A2835" s="2" t="s">
        <v>6765</v>
      </c>
      <c r="B2835" s="2" t="s">
        <v>6766</v>
      </c>
      <c r="C2835" s="2" t="s">
        <v>36</v>
      </c>
      <c r="D2835" s="2" t="s">
        <v>37</v>
      </c>
      <c r="E2835" s="5">
        <v>-30097</v>
      </c>
      <c r="F2835" s="3" t="s">
        <v>156</v>
      </c>
      <c r="G2835" s="3" t="s">
        <v>2493</v>
      </c>
      <c r="H2835" s="2" t="s">
        <v>21</v>
      </c>
      <c r="I2835" s="2" t="s">
        <v>6769</v>
      </c>
      <c r="J2835" s="3" t="str">
        <f>HYPERLINK("https://www.boe.es/gazeta/dias/1817/08/05/pdfs/GMD-1817-93.pdf#page=8","Abrir facsímil")</f>
        <v>Abrir facsímil</v>
      </c>
      <c r="K2835" s="3" t="s">
        <v>23</v>
      </c>
    </row>
    <row r="2836" spans="1:11" ht="42" customHeight="1">
      <c r="A2836" s="2" t="s">
        <v>6765</v>
      </c>
      <c r="B2836" s="2" t="s">
        <v>6766</v>
      </c>
      <c r="C2836" s="2" t="s">
        <v>17</v>
      </c>
      <c r="D2836" s="2" t="s">
        <v>18</v>
      </c>
      <c r="E2836" s="5">
        <v>-30088</v>
      </c>
      <c r="F2836" s="3" t="s">
        <v>244</v>
      </c>
      <c r="G2836" s="3" t="s">
        <v>245</v>
      </c>
      <c r="H2836" s="2" t="s">
        <v>21</v>
      </c>
      <c r="I2836" s="2" t="s">
        <v>6770</v>
      </c>
      <c r="J2836" s="3" t="str">
        <f>HYPERLINK("https://www.boe.es/gazeta/dias/1817/08/14/pdfs/GMD-1817-97.pdf#page=8","Abrir facsímil")</f>
        <v>Abrir facsímil</v>
      </c>
      <c r="K2836" s="3" t="s">
        <v>23</v>
      </c>
    </row>
    <row r="2837" spans="1:11" ht="42" customHeight="1">
      <c r="A2837" s="2" t="s">
        <v>6765</v>
      </c>
      <c r="B2837" s="2" t="s">
        <v>6766</v>
      </c>
      <c r="C2837" s="2" t="s">
        <v>36</v>
      </c>
      <c r="D2837" s="2" t="s">
        <v>37</v>
      </c>
      <c r="E2837" s="5">
        <v>-30086</v>
      </c>
      <c r="F2837" s="3" t="s">
        <v>221</v>
      </c>
      <c r="G2837" s="3" t="s">
        <v>222</v>
      </c>
      <c r="H2837" s="2" t="s">
        <v>21</v>
      </c>
      <c r="I2837" s="2" t="s">
        <v>6771</v>
      </c>
      <c r="J2837" s="3" t="str">
        <f>HYPERLINK("https://www.boe.es/gazeta/dias/1817/08/16/pdfs/GMD-1817-98.pdf#page=8","Abrir facsímil")</f>
        <v>Abrir facsímil</v>
      </c>
      <c r="K2837" s="3" t="s">
        <v>23</v>
      </c>
    </row>
    <row r="2838" spans="1:11" ht="42" customHeight="1">
      <c r="A2838" s="2" t="s">
        <v>6765</v>
      </c>
      <c r="B2838" s="2" t="s">
        <v>6766</v>
      </c>
      <c r="C2838" s="2" t="s">
        <v>36</v>
      </c>
      <c r="D2838" s="2" t="s">
        <v>37</v>
      </c>
      <c r="E2838" s="5">
        <v>-30025</v>
      </c>
      <c r="F2838" s="3" t="s">
        <v>458</v>
      </c>
      <c r="G2838" s="3" t="s">
        <v>20</v>
      </c>
      <c r="H2838" s="2" t="s">
        <v>21</v>
      </c>
      <c r="I2838" s="2" t="s">
        <v>6772</v>
      </c>
      <c r="J2838" s="3" t="str">
        <f>HYPERLINK("https://www.boe.es/gazeta/dias/1817/10/16/pdfs/GMD-1817-124.pdf#page=7","Abrir facsímil")</f>
        <v>Abrir facsímil</v>
      </c>
      <c r="K2838" s="3" t="s">
        <v>23</v>
      </c>
    </row>
    <row r="2839" spans="1:11" ht="42" customHeight="1">
      <c r="A2839" s="2" t="s">
        <v>6765</v>
      </c>
      <c r="B2839" s="2" t="s">
        <v>6766</v>
      </c>
      <c r="C2839" s="2" t="s">
        <v>36</v>
      </c>
      <c r="D2839" s="2" t="s">
        <v>37</v>
      </c>
      <c r="E2839" s="5">
        <v>-30018</v>
      </c>
      <c r="F2839" s="3" t="s">
        <v>757</v>
      </c>
      <c r="G2839" s="3" t="s">
        <v>77</v>
      </c>
      <c r="H2839" s="2" t="s">
        <v>21</v>
      </c>
      <c r="I2839" s="2" t="s">
        <v>6773</v>
      </c>
      <c r="J2839" s="3" t="str">
        <f>HYPERLINK("https://www.boe.es/gazeta/dias/1817/10/23/pdfs/GMD-1817-127.pdf#page=8","Abrir facsímil")</f>
        <v>Abrir facsímil</v>
      </c>
      <c r="K2839" s="3" t="s">
        <v>23</v>
      </c>
    </row>
    <row r="2840" spans="1:11" ht="42" customHeight="1">
      <c r="A2840" s="2" t="s">
        <v>6765</v>
      </c>
      <c r="B2840" s="2" t="s">
        <v>6766</v>
      </c>
      <c r="C2840" s="2" t="s">
        <v>36</v>
      </c>
      <c r="D2840" s="2" t="s">
        <v>37</v>
      </c>
      <c r="E2840" s="5">
        <v>-29985</v>
      </c>
      <c r="F2840" s="3" t="s">
        <v>76</v>
      </c>
      <c r="G2840" s="3" t="s">
        <v>82</v>
      </c>
      <c r="H2840" s="2" t="s">
        <v>21</v>
      </c>
      <c r="I2840" s="2" t="s">
        <v>6774</v>
      </c>
      <c r="J2840" s="3" t="str">
        <f>HYPERLINK("https://www.boe.es/gazeta/dias/1817/11/25/pdfs/GMD-1817-141.pdf#page=12","Abrir facsímil")</f>
        <v>Abrir facsímil</v>
      </c>
      <c r="K2840" s="3" t="s">
        <v>23</v>
      </c>
    </row>
    <row r="2841" spans="1:11" ht="42" customHeight="1">
      <c r="A2841" s="2" t="s">
        <v>6765</v>
      </c>
      <c r="B2841" s="2" t="s">
        <v>6766</v>
      </c>
      <c r="C2841" s="2" t="s">
        <v>36</v>
      </c>
      <c r="D2841" s="2" t="s">
        <v>37</v>
      </c>
      <c r="E2841" s="5">
        <v>-29960</v>
      </c>
      <c r="F2841" s="3" t="s">
        <v>657</v>
      </c>
      <c r="G2841" s="3" t="s">
        <v>82</v>
      </c>
      <c r="H2841" s="2" t="s">
        <v>21</v>
      </c>
      <c r="I2841" s="2" t="s">
        <v>6775</v>
      </c>
      <c r="J2841" s="3" t="str">
        <f>HYPERLINK("https://www.boe.es/gazeta/dias/1817/12/20/pdfs/GMD-1817-152.pdf#page=12","Abrir facsímil")</f>
        <v>Abrir facsímil</v>
      </c>
      <c r="K2841" s="3" t="s">
        <v>23</v>
      </c>
    </row>
    <row r="2842" spans="1:11" ht="42" customHeight="1">
      <c r="A2842" s="2" t="s">
        <v>6776</v>
      </c>
      <c r="B2842" s="2" t="s">
        <v>6777</v>
      </c>
      <c r="C2842" s="2" t="s">
        <v>43</v>
      </c>
      <c r="D2842" s="2" t="s">
        <v>44</v>
      </c>
      <c r="E2842" s="5">
        <v>-30013</v>
      </c>
      <c r="F2842" s="3" t="s">
        <v>464</v>
      </c>
      <c r="G2842" s="3" t="s">
        <v>39</v>
      </c>
      <c r="H2842" s="2" t="s">
        <v>21</v>
      </c>
      <c r="I2842" s="2" t="s">
        <v>6778</v>
      </c>
      <c r="J2842" s="3" t="str">
        <f>HYPERLINK("https://www.boe.es/gazeta/dias/1817/10/28/pdfs/GMD-1817-129.pdf#page=5","Abrir facsímil")</f>
        <v>Abrir facsímil</v>
      </c>
      <c r="K2842" s="3" t="s">
        <v>23</v>
      </c>
    </row>
    <row r="2843" spans="1:11" ht="42" customHeight="1">
      <c r="A2843" s="2" t="s">
        <v>6779</v>
      </c>
      <c r="B2843" s="2" t="s">
        <v>6780</v>
      </c>
      <c r="C2843" s="2" t="s">
        <v>36</v>
      </c>
      <c r="D2843" s="2" t="s">
        <v>37</v>
      </c>
      <c r="E2843" s="5">
        <v>-29997</v>
      </c>
      <c r="F2843" s="3" t="s">
        <v>652</v>
      </c>
      <c r="G2843" s="3" t="s">
        <v>1541</v>
      </c>
      <c r="H2843" s="2" t="s">
        <v>21</v>
      </c>
      <c r="I2843" s="2" t="s">
        <v>6781</v>
      </c>
      <c r="J2843" s="3" t="str">
        <f>HYPERLINK("https://www.boe.es/gazeta/dias/1817/11/13/pdfs/GMD-1817-136.pdf#page=9","Abrir facsímil")</f>
        <v>Abrir facsímil</v>
      </c>
      <c r="K2843" s="3" t="s">
        <v>23</v>
      </c>
    </row>
    <row r="2844" spans="1:11" ht="42" customHeight="1">
      <c r="A2844" s="2" t="s">
        <v>6782</v>
      </c>
      <c r="B2844" s="2" t="s">
        <v>6782</v>
      </c>
      <c r="C2844" s="2" t="s">
        <v>36</v>
      </c>
      <c r="D2844" s="2" t="s">
        <v>37</v>
      </c>
      <c r="E2844" s="5">
        <v>-29999</v>
      </c>
      <c r="F2844" s="3" t="s">
        <v>471</v>
      </c>
      <c r="G2844" s="3" t="s">
        <v>650</v>
      </c>
      <c r="H2844" s="2" t="s">
        <v>21</v>
      </c>
      <c r="I2844" s="2" t="s">
        <v>6783</v>
      </c>
      <c r="J2844" s="3" t="str">
        <f>HYPERLINK("https://www.boe.es/gazeta/dias/1817/11/11/pdfs/GMD-1817-135.pdf#page=5","Abrir facsímil")</f>
        <v>Abrir facsímil</v>
      </c>
      <c r="K2844" s="3" t="s">
        <v>23</v>
      </c>
    </row>
    <row r="2845" spans="1:11" ht="42" customHeight="1">
      <c r="A2845" s="2" t="s">
        <v>6782</v>
      </c>
      <c r="B2845" s="2" t="s">
        <v>6782</v>
      </c>
      <c r="C2845" s="2" t="s">
        <v>36</v>
      </c>
      <c r="D2845" s="2" t="s">
        <v>37</v>
      </c>
      <c r="E2845" s="5">
        <v>-29999</v>
      </c>
      <c r="F2845" s="3" t="s">
        <v>471</v>
      </c>
      <c r="G2845" s="3" t="s">
        <v>6784</v>
      </c>
      <c r="H2845" s="2" t="s">
        <v>21</v>
      </c>
      <c r="I2845" s="2" t="s">
        <v>6785</v>
      </c>
      <c r="J2845" s="3" t="str">
        <f>HYPERLINK("https://www.boe.es/gazeta/dias/1817/11/11/pdfs/GMD-1817-135.pdf#page=6","Abrir facsímil")</f>
        <v>Abrir facsímil</v>
      </c>
      <c r="K2845" s="3" t="s">
        <v>23</v>
      </c>
    </row>
    <row r="2846" spans="1:11" ht="42" customHeight="1">
      <c r="A2846" s="2" t="s">
        <v>6786</v>
      </c>
      <c r="B2846" s="2" t="s">
        <v>6787</v>
      </c>
      <c r="C2846" s="2" t="s">
        <v>36</v>
      </c>
      <c r="D2846" s="2" t="s">
        <v>37</v>
      </c>
      <c r="E2846" s="5">
        <v>-30291</v>
      </c>
      <c r="F2846" s="3" t="s">
        <v>1041</v>
      </c>
      <c r="G2846" s="3" t="s">
        <v>20</v>
      </c>
      <c r="H2846" s="2" t="s">
        <v>21</v>
      </c>
      <c r="I2846" s="2" t="s">
        <v>6788</v>
      </c>
      <c r="J2846" s="3" t="str">
        <f>HYPERLINK("https://www.boe.es/gazeta/dias/1817/01/23/pdfs/GMD-1817-10.pdf#page=7","Abrir facsímil")</f>
        <v>Abrir facsímil</v>
      </c>
      <c r="K2846" s="3" t="s">
        <v>23</v>
      </c>
    </row>
    <row r="2847" spans="1:11" ht="42" customHeight="1">
      <c r="A2847" s="2" t="s">
        <v>6789</v>
      </c>
      <c r="B2847" s="2" t="s">
        <v>6790</v>
      </c>
      <c r="C2847" s="2" t="s">
        <v>36</v>
      </c>
      <c r="D2847" s="2" t="s">
        <v>37</v>
      </c>
      <c r="E2847" s="5">
        <v>-29976</v>
      </c>
      <c r="F2847" s="3" t="s">
        <v>81</v>
      </c>
      <c r="G2847" s="3" t="s">
        <v>20</v>
      </c>
      <c r="H2847" s="2" t="s">
        <v>21</v>
      </c>
      <c r="I2847" s="2" t="s">
        <v>6791</v>
      </c>
      <c r="J2847" s="3" t="str">
        <f>HYPERLINK("https://www.boe.es/gazeta/dias/1817/12/04/pdfs/GMD-1817-145.pdf#page=7","Abrir facsímil")</f>
        <v>Abrir facsímil</v>
      </c>
      <c r="K2847" s="3" t="s">
        <v>23</v>
      </c>
    </row>
    <row r="2848" spans="1:11" ht="42" customHeight="1">
      <c r="A2848" s="2" t="s">
        <v>6792</v>
      </c>
      <c r="B2848" s="2" t="s">
        <v>6793</v>
      </c>
      <c r="C2848" s="2" t="s">
        <v>43</v>
      </c>
      <c r="D2848" s="2" t="s">
        <v>44</v>
      </c>
      <c r="E2848" s="5">
        <v>-30307</v>
      </c>
      <c r="F2848" s="3" t="s">
        <v>67</v>
      </c>
      <c r="G2848" s="3" t="s">
        <v>739</v>
      </c>
      <c r="H2848" s="2" t="s">
        <v>21</v>
      </c>
      <c r="I2848" s="2" t="s">
        <v>6794</v>
      </c>
      <c r="J2848" s="3" t="str">
        <f>HYPERLINK("https://www.boe.es/gazeta/dias/1817/01/07/pdfs/GMD-1817-3.pdf#page=6","Abrir facsímil")</f>
        <v>Abrir facsímil</v>
      </c>
      <c r="K2848" s="3" t="s">
        <v>23</v>
      </c>
    </row>
    <row r="2849" spans="1:11" ht="42" customHeight="1">
      <c r="A2849" s="2" t="s">
        <v>6795</v>
      </c>
      <c r="B2849" s="2" t="s">
        <v>6796</v>
      </c>
      <c r="C2849" s="2" t="s">
        <v>36</v>
      </c>
      <c r="D2849" s="2" t="s">
        <v>37</v>
      </c>
      <c r="E2849" s="5">
        <v>-30065</v>
      </c>
      <c r="F2849" s="3" t="s">
        <v>201</v>
      </c>
      <c r="G2849" s="3" t="s">
        <v>20</v>
      </c>
      <c r="H2849" s="2" t="s">
        <v>21</v>
      </c>
      <c r="I2849" s="2" t="s">
        <v>6797</v>
      </c>
      <c r="J2849" s="3" t="str">
        <f>HYPERLINK("https://www.boe.es/gazeta/dias/1817/09/06/pdfs/GMD-1817-107.pdf#page=7","Abrir facsímil")</f>
        <v>Abrir facsímil</v>
      </c>
      <c r="K2849" s="3" t="s">
        <v>23</v>
      </c>
    </row>
    <row r="2850" spans="1:11" ht="42" customHeight="1">
      <c r="A2850" s="2" t="s">
        <v>6798</v>
      </c>
      <c r="B2850" s="2" t="s">
        <v>6798</v>
      </c>
      <c r="C2850" s="2" t="s">
        <v>36</v>
      </c>
      <c r="D2850" s="2" t="s">
        <v>37</v>
      </c>
      <c r="E2850" s="5">
        <v>-29999</v>
      </c>
      <c r="F2850" s="3" t="s">
        <v>471</v>
      </c>
      <c r="G2850" s="3" t="s">
        <v>6784</v>
      </c>
      <c r="H2850" s="2" t="s">
        <v>21</v>
      </c>
      <c r="I2850" s="2" t="s">
        <v>6799</v>
      </c>
      <c r="J2850" s="3" t="str">
        <f>HYPERLINK("https://www.boe.es/gazeta/dias/1817/11/11/pdfs/GMD-1817-135.pdf#page=6","Abrir facsímil")</f>
        <v>Abrir facsímil</v>
      </c>
      <c r="K2850" s="3" t="s">
        <v>23</v>
      </c>
    </row>
    <row r="2851" spans="1:11" ht="42" customHeight="1">
      <c r="A2851" s="2" t="s">
        <v>6800</v>
      </c>
      <c r="B2851" s="2" t="s">
        <v>6801</v>
      </c>
      <c r="C2851" s="2" t="s">
        <v>43</v>
      </c>
      <c r="D2851" s="2" t="s">
        <v>44</v>
      </c>
      <c r="E2851" s="5">
        <v>-30158</v>
      </c>
      <c r="F2851" s="3" t="s">
        <v>305</v>
      </c>
      <c r="G2851" s="3" t="s">
        <v>77</v>
      </c>
      <c r="H2851" s="2" t="s">
        <v>27</v>
      </c>
      <c r="I2851" s="2" t="s">
        <v>6802</v>
      </c>
      <c r="J2851" s="3" t="str">
        <f>HYPERLINK("https://www.boe.es/gazeta/dias/1817/06/05/pdfs/GMD-1817-67.pdf#page=8","Abrir facsímil")</f>
        <v>Abrir facsímil</v>
      </c>
      <c r="K2851" s="3" t="s">
        <v>29</v>
      </c>
    </row>
    <row r="2852" spans="1:11" ht="42" customHeight="1">
      <c r="A2852" s="2" t="s">
        <v>6803</v>
      </c>
      <c r="B2852" s="2" t="s">
        <v>6803</v>
      </c>
      <c r="C2852" s="2" t="s">
        <v>36</v>
      </c>
      <c r="D2852" s="2" t="s">
        <v>37</v>
      </c>
      <c r="E2852" s="5">
        <v>-30258</v>
      </c>
      <c r="F2852" s="3" t="s">
        <v>234</v>
      </c>
      <c r="G2852" s="3" t="s">
        <v>72</v>
      </c>
      <c r="H2852" s="2" t="s">
        <v>21</v>
      </c>
      <c r="I2852" s="2" t="s">
        <v>6804</v>
      </c>
      <c r="J2852" s="3" t="str">
        <f>HYPERLINK("https://www.boe.es/gazeta/dias/1817/02/25/pdfs/GMD-1817-24.pdf#page=1","Abrir facsímil")</f>
        <v>Abrir facsímil</v>
      </c>
      <c r="K2852" s="3" t="s">
        <v>23</v>
      </c>
    </row>
    <row r="2853" spans="1:11" ht="42" customHeight="1">
      <c r="A2853" s="2" t="s">
        <v>6805</v>
      </c>
      <c r="B2853" s="2" t="s">
        <v>6806</v>
      </c>
      <c r="C2853" s="2" t="s">
        <v>36</v>
      </c>
      <c r="D2853" s="2" t="s">
        <v>37</v>
      </c>
      <c r="E2853" s="5">
        <v>-30114</v>
      </c>
      <c r="F2853" s="3" t="s">
        <v>500</v>
      </c>
      <c r="G2853" s="3" t="s">
        <v>915</v>
      </c>
      <c r="H2853" s="2" t="s">
        <v>21</v>
      </c>
      <c r="I2853" s="2" t="s">
        <v>6807</v>
      </c>
      <c r="J2853" s="3" t="str">
        <f>HYPERLINK("https://www.boe.es/gazeta/dias/1817/07/19/pdfs/GMD-1817-86.pdf#page=6","Abrir facsímil")</f>
        <v>Abrir facsímil</v>
      </c>
      <c r="K2853" s="3" t="s">
        <v>23</v>
      </c>
    </row>
    <row r="2854" spans="1:11" ht="42" customHeight="1">
      <c r="A2854" s="2" t="s">
        <v>6805</v>
      </c>
      <c r="B2854" s="2" t="s">
        <v>6806</v>
      </c>
      <c r="C2854" s="2" t="s">
        <v>43</v>
      </c>
      <c r="D2854" s="2" t="s">
        <v>44</v>
      </c>
      <c r="E2854" s="5">
        <v>-30114</v>
      </c>
      <c r="F2854" s="3" t="s">
        <v>500</v>
      </c>
      <c r="G2854" s="3" t="s">
        <v>20</v>
      </c>
      <c r="H2854" s="2" t="s">
        <v>21</v>
      </c>
      <c r="I2854" s="2" t="s">
        <v>6808</v>
      </c>
      <c r="J2854" s="3" t="str">
        <f>HYPERLINK("https://www.boe.es/gazeta/dias/1817/07/19/pdfs/GMD-1817-86.pdf#page=7","Abrir facsímil")</f>
        <v>Abrir facsímil</v>
      </c>
      <c r="K2854" s="3" t="s">
        <v>23</v>
      </c>
    </row>
    <row r="2855" spans="1:11" ht="42" customHeight="1">
      <c r="A2855" s="2" t="s">
        <v>6809</v>
      </c>
      <c r="B2855" s="2" t="s">
        <v>6810</v>
      </c>
      <c r="C2855" s="2" t="s">
        <v>17</v>
      </c>
      <c r="D2855" s="2" t="s">
        <v>18</v>
      </c>
      <c r="E2855" s="5">
        <v>-30263</v>
      </c>
      <c r="F2855" s="3" t="s">
        <v>1794</v>
      </c>
      <c r="G2855" s="3" t="s">
        <v>4496</v>
      </c>
      <c r="H2855" s="2" t="s">
        <v>21</v>
      </c>
      <c r="I2855" s="2" t="s">
        <v>6811</v>
      </c>
      <c r="J2855" s="3" t="str">
        <f>HYPERLINK("https://www.boe.es/gazeta/dias/1817/02/20/pdfs/GMD-1817-22.pdf#page=8","Abrir facsímil")</f>
        <v>Abrir facsímil</v>
      </c>
      <c r="K2855" s="3" t="s">
        <v>23</v>
      </c>
    </row>
    <row r="2856" spans="1:11" ht="42" customHeight="1">
      <c r="A2856" s="2" t="s">
        <v>6809</v>
      </c>
      <c r="B2856" s="2" t="s">
        <v>6810</v>
      </c>
      <c r="C2856" s="2" t="s">
        <v>17</v>
      </c>
      <c r="D2856" s="2" t="s">
        <v>18</v>
      </c>
      <c r="E2856" s="5">
        <v>-30226</v>
      </c>
      <c r="F2856" s="3" t="s">
        <v>416</v>
      </c>
      <c r="G2856" s="3" t="s">
        <v>77</v>
      </c>
      <c r="H2856" s="2" t="s">
        <v>21</v>
      </c>
      <c r="I2856" s="2" t="s">
        <v>6812</v>
      </c>
      <c r="J2856" s="3" t="str">
        <f>HYPERLINK("https://www.boe.es/gazeta/dias/1817/03/29/pdfs/GMD-1817-38.pdf#page=8","Abrir facsímil")</f>
        <v>Abrir facsímil</v>
      </c>
      <c r="K2856" s="3" t="s">
        <v>23</v>
      </c>
    </row>
    <row r="2857" spans="1:11" ht="42" customHeight="1">
      <c r="A2857" s="2" t="s">
        <v>6809</v>
      </c>
      <c r="B2857" s="2" t="s">
        <v>6810</v>
      </c>
      <c r="C2857" s="2" t="s">
        <v>17</v>
      </c>
      <c r="D2857" s="2" t="s">
        <v>18</v>
      </c>
      <c r="E2857" s="5">
        <v>-30090</v>
      </c>
      <c r="F2857" s="3" t="s">
        <v>89</v>
      </c>
      <c r="G2857" s="3" t="s">
        <v>77</v>
      </c>
      <c r="H2857" s="2" t="s">
        <v>21</v>
      </c>
      <c r="I2857" s="2" t="s">
        <v>6813</v>
      </c>
      <c r="J2857" s="3" t="str">
        <f>HYPERLINK("https://www.boe.es/gazeta/dias/1817/08/12/pdfs/GMD-1817-96.pdf#page=8","Abrir facsímil")</f>
        <v>Abrir facsímil</v>
      </c>
      <c r="K2857" s="3" t="s">
        <v>23</v>
      </c>
    </row>
    <row r="2858" spans="1:11" ht="42" customHeight="1">
      <c r="A2858" s="2" t="s">
        <v>6809</v>
      </c>
      <c r="B2858" s="2" t="s">
        <v>6810</v>
      </c>
      <c r="C2858" s="2" t="s">
        <v>17</v>
      </c>
      <c r="D2858" s="2" t="s">
        <v>18</v>
      </c>
      <c r="E2858" s="5">
        <v>-30046</v>
      </c>
      <c r="F2858" s="3" t="s">
        <v>214</v>
      </c>
      <c r="G2858" s="3" t="s">
        <v>275</v>
      </c>
      <c r="H2858" s="2" t="s">
        <v>21</v>
      </c>
      <c r="I2858" s="2" t="s">
        <v>6814</v>
      </c>
      <c r="J2858" s="3" t="str">
        <f>HYPERLINK("https://www.boe.es/gazeta/dias/1817/09/25/pdfs/GMD-1817-115.pdf#page=12","Abrir facsímil")</f>
        <v>Abrir facsímil</v>
      </c>
      <c r="K2858" s="3" t="s">
        <v>23</v>
      </c>
    </row>
    <row r="2859" spans="1:11" ht="42" customHeight="1">
      <c r="A2859" s="2" t="s">
        <v>6815</v>
      </c>
      <c r="B2859" s="2" t="s">
        <v>6816</v>
      </c>
      <c r="C2859" s="2" t="s">
        <v>36</v>
      </c>
      <c r="D2859" s="2" t="s">
        <v>37</v>
      </c>
      <c r="E2859" s="5">
        <v>-30121</v>
      </c>
      <c r="F2859" s="3" t="s">
        <v>851</v>
      </c>
      <c r="G2859" s="3" t="s">
        <v>77</v>
      </c>
      <c r="H2859" s="2" t="s">
        <v>21</v>
      </c>
      <c r="I2859" s="2" t="s">
        <v>6817</v>
      </c>
      <c r="J2859" s="3" t="str">
        <f>HYPERLINK("https://www.boe.es/gazeta/dias/1817/07/12/pdfs/GMD-1817-83.pdf#page=8","Abrir facsímil")</f>
        <v>Abrir facsímil</v>
      </c>
      <c r="K2859" s="3" t="s">
        <v>23</v>
      </c>
    </row>
    <row r="2860" spans="1:11" ht="42" customHeight="1">
      <c r="A2860" s="2" t="s">
        <v>6818</v>
      </c>
      <c r="B2860" s="2" t="s">
        <v>6819</v>
      </c>
      <c r="C2860" s="2" t="s">
        <v>97</v>
      </c>
      <c r="D2860" s="2" t="s">
        <v>44</v>
      </c>
      <c r="E2860" s="5">
        <v>-30025</v>
      </c>
      <c r="F2860" s="3" t="s">
        <v>458</v>
      </c>
      <c r="G2860" s="3" t="s">
        <v>77</v>
      </c>
      <c r="H2860" s="2" t="s">
        <v>21</v>
      </c>
      <c r="I2860" s="2" t="s">
        <v>6820</v>
      </c>
      <c r="J2860" s="3" t="str">
        <f>HYPERLINK("https://www.boe.es/gazeta/dias/1817/10/16/pdfs/GMD-1817-124.pdf#page=8","Abrir facsímil")</f>
        <v>Abrir facsímil</v>
      </c>
      <c r="K2860" s="3" t="s">
        <v>23</v>
      </c>
    </row>
    <row r="2861" spans="1:11" ht="42" customHeight="1">
      <c r="A2861" s="2" t="s">
        <v>6821</v>
      </c>
      <c r="B2861" s="2" t="s">
        <v>6822</v>
      </c>
      <c r="C2861" s="2" t="s">
        <v>49</v>
      </c>
      <c r="D2861" s="2" t="s">
        <v>44</v>
      </c>
      <c r="E2861" s="5">
        <v>-30228</v>
      </c>
      <c r="F2861" s="3" t="s">
        <v>383</v>
      </c>
      <c r="G2861" s="3" t="s">
        <v>77</v>
      </c>
      <c r="H2861" s="2" t="s">
        <v>27</v>
      </c>
      <c r="I2861" s="2" t="s">
        <v>6823</v>
      </c>
      <c r="J2861" s="3" t="str">
        <f>HYPERLINK("https://www.boe.es/gazeta/dias/1817/03/27/pdfs/GMD-1817-37.pdf#page=8","Abrir facsímil")</f>
        <v>Abrir facsímil</v>
      </c>
      <c r="K2861" s="3" t="s">
        <v>29</v>
      </c>
    </row>
    <row r="2862" spans="1:11" ht="42" customHeight="1">
      <c r="A2862" s="2" t="s">
        <v>6824</v>
      </c>
      <c r="B2862" s="2" t="s">
        <v>6825</v>
      </c>
      <c r="C2862" s="2" t="s">
        <v>17</v>
      </c>
      <c r="D2862" s="2" t="s">
        <v>18</v>
      </c>
      <c r="E2862" s="5">
        <v>-30205</v>
      </c>
      <c r="F2862" s="3" t="s">
        <v>139</v>
      </c>
      <c r="G2862" s="3" t="s">
        <v>20</v>
      </c>
      <c r="H2862" s="2" t="s">
        <v>21</v>
      </c>
      <c r="I2862" s="2" t="s">
        <v>6826</v>
      </c>
      <c r="J2862" s="3" t="str">
        <f>HYPERLINK("https://www.boe.es/gazeta/dias/1817/04/19/pdfs/GMD-1817-47.pdf#page=7","Abrir facsímil")</f>
        <v>Abrir facsímil</v>
      </c>
      <c r="K2862" s="3" t="s">
        <v>23</v>
      </c>
    </row>
    <row r="2863" spans="1:11" ht="42" customHeight="1">
      <c r="A2863" s="2" t="s">
        <v>6827</v>
      </c>
      <c r="B2863" s="2" t="s">
        <v>6828</v>
      </c>
      <c r="C2863" s="2" t="s">
        <v>43</v>
      </c>
      <c r="D2863" s="2" t="s">
        <v>44</v>
      </c>
      <c r="E2863" s="5">
        <v>-30132</v>
      </c>
      <c r="F2863" s="3" t="s">
        <v>718</v>
      </c>
      <c r="G2863" s="3" t="s">
        <v>20</v>
      </c>
      <c r="H2863" s="2" t="s">
        <v>21</v>
      </c>
      <c r="I2863" s="2" t="s">
        <v>6829</v>
      </c>
      <c r="J2863" s="3" t="str">
        <f>HYPERLINK("https://www.boe.es/gazeta/dias/1817/07/01/pdfs/GMD-1817-78.pdf#page=7","Abrir facsímil")</f>
        <v>Abrir facsímil</v>
      </c>
      <c r="K2863" s="3" t="s">
        <v>23</v>
      </c>
    </row>
    <row r="2864" spans="1:11" ht="42" customHeight="1">
      <c r="A2864" s="2" t="s">
        <v>6827</v>
      </c>
      <c r="B2864" s="2" t="s">
        <v>6828</v>
      </c>
      <c r="C2864" s="2" t="s">
        <v>17</v>
      </c>
      <c r="D2864" s="2" t="s">
        <v>18</v>
      </c>
      <c r="E2864" s="5">
        <v>-30130</v>
      </c>
      <c r="F2864" s="3" t="s">
        <v>768</v>
      </c>
      <c r="G2864" s="3" t="s">
        <v>39</v>
      </c>
      <c r="H2864" s="2" t="s">
        <v>21</v>
      </c>
      <c r="I2864" s="2" t="s">
        <v>6830</v>
      </c>
      <c r="J2864" s="3" t="str">
        <f>HYPERLINK("https://www.boe.es/gazeta/dias/1817/07/03/pdfs/GMD-1817-79.pdf#page=5","Abrir facsímil")</f>
        <v>Abrir facsímil</v>
      </c>
      <c r="K2864" s="3" t="s">
        <v>23</v>
      </c>
    </row>
    <row r="2865" spans="1:11" ht="42" customHeight="1">
      <c r="A2865" s="2" t="s">
        <v>6831</v>
      </c>
      <c r="B2865" s="2" t="s">
        <v>6832</v>
      </c>
      <c r="C2865" s="2" t="s">
        <v>17</v>
      </c>
      <c r="D2865" s="2" t="s">
        <v>18</v>
      </c>
      <c r="E2865" s="5">
        <v>-29976</v>
      </c>
      <c r="F2865" s="3" t="s">
        <v>81</v>
      </c>
      <c r="G2865" s="3" t="s">
        <v>112</v>
      </c>
      <c r="H2865" s="2" t="s">
        <v>21</v>
      </c>
      <c r="I2865" s="2" t="s">
        <v>6833</v>
      </c>
      <c r="J2865" s="3" t="str">
        <f>HYPERLINK("https://www.boe.es/gazeta/dias/1817/12/04/pdfs/GMD-1817-145.pdf#page=11","Abrir facsímil")</f>
        <v>Abrir facsímil</v>
      </c>
      <c r="K2865" s="3" t="s">
        <v>23</v>
      </c>
    </row>
    <row r="2866" spans="1:11" ht="42" customHeight="1">
      <c r="A2866" s="2" t="s">
        <v>6831</v>
      </c>
      <c r="B2866" s="2" t="s">
        <v>6832</v>
      </c>
      <c r="C2866" s="2" t="s">
        <v>36</v>
      </c>
      <c r="D2866" s="2" t="s">
        <v>37</v>
      </c>
      <c r="E2866" s="5">
        <v>-29950</v>
      </c>
      <c r="F2866" s="3" t="s">
        <v>185</v>
      </c>
      <c r="G2866" s="3" t="s">
        <v>20</v>
      </c>
      <c r="H2866" s="2" t="s">
        <v>21</v>
      </c>
      <c r="I2866" s="2" t="s">
        <v>6834</v>
      </c>
      <c r="J2866" s="3" t="str">
        <f>HYPERLINK("https://www.boe.es/gazeta/dias/1817/12/30/pdfs/GMD-1817-156.pdf#page=7","Abrir facsímil")</f>
        <v>Abrir facsímil</v>
      </c>
      <c r="K2866" s="3" t="s">
        <v>23</v>
      </c>
    </row>
    <row r="2867" spans="1:11" ht="42" customHeight="1">
      <c r="A2867" s="2" t="s">
        <v>6835</v>
      </c>
      <c r="B2867" s="2" t="s">
        <v>6836</v>
      </c>
      <c r="C2867" s="2" t="s">
        <v>36</v>
      </c>
      <c r="D2867" s="2" t="s">
        <v>37</v>
      </c>
      <c r="E2867" s="5">
        <v>-30083</v>
      </c>
      <c r="F2867" s="3" t="s">
        <v>1273</v>
      </c>
      <c r="G2867" s="3" t="s">
        <v>20</v>
      </c>
      <c r="H2867" s="2" t="s">
        <v>21</v>
      </c>
      <c r="I2867" s="2" t="s">
        <v>6837</v>
      </c>
      <c r="J2867" s="3" t="str">
        <f>HYPERLINK("https://www.boe.es/gazeta/dias/1817/08/19/pdfs/GMD-1817-99.pdf#page=7","Abrir facsímil")</f>
        <v>Abrir facsímil</v>
      </c>
      <c r="K2867" s="3" t="s">
        <v>23</v>
      </c>
    </row>
    <row r="2868" spans="1:11" ht="42" customHeight="1">
      <c r="A2868" s="2" t="s">
        <v>6838</v>
      </c>
      <c r="B2868" s="2" t="s">
        <v>6839</v>
      </c>
      <c r="C2868" s="2" t="s">
        <v>17</v>
      </c>
      <c r="D2868" s="2" t="s">
        <v>18</v>
      </c>
      <c r="E2868" s="5">
        <v>-30083</v>
      </c>
      <c r="F2868" s="3" t="s">
        <v>1273</v>
      </c>
      <c r="G2868" s="3" t="s">
        <v>5834</v>
      </c>
      <c r="H2868" s="2" t="s">
        <v>21</v>
      </c>
      <c r="I2868" s="2" t="s">
        <v>6840</v>
      </c>
      <c r="J2868" s="3" t="str">
        <f>HYPERLINK("https://www.boe.es/gazeta/dias/1817/08/19/pdfs/GMD-1817-99.pdf#page=6","Abrir facsímil")</f>
        <v>Abrir facsímil</v>
      </c>
      <c r="K2868" s="3" t="s">
        <v>23</v>
      </c>
    </row>
    <row r="2869" spans="1:11" ht="42" customHeight="1">
      <c r="A2869" s="2" t="s">
        <v>6841</v>
      </c>
      <c r="B2869" s="2" t="s">
        <v>6842</v>
      </c>
      <c r="C2869" s="2" t="s">
        <v>36</v>
      </c>
      <c r="D2869" s="2" t="s">
        <v>37</v>
      </c>
      <c r="E2869" s="5">
        <v>-30018</v>
      </c>
      <c r="F2869" s="3" t="s">
        <v>757</v>
      </c>
      <c r="G2869" s="3" t="s">
        <v>20</v>
      </c>
      <c r="H2869" s="2" t="s">
        <v>27</v>
      </c>
      <c r="I2869" s="2" t="s">
        <v>6843</v>
      </c>
      <c r="J2869" s="3" t="str">
        <f>HYPERLINK("https://www.boe.es/gazeta/dias/1817/10/23/pdfs/GMD-1817-127.pdf#page=7","Abrir facsímil")</f>
        <v>Abrir facsímil</v>
      </c>
      <c r="K2869" s="3" t="s">
        <v>29</v>
      </c>
    </row>
    <row r="2870" spans="1:11" ht="42" customHeight="1">
      <c r="A2870" s="2" t="s">
        <v>6844</v>
      </c>
      <c r="B2870" s="2" t="s">
        <v>6845</v>
      </c>
      <c r="C2870" s="2" t="s">
        <v>43</v>
      </c>
      <c r="D2870" s="2" t="s">
        <v>44</v>
      </c>
      <c r="E2870" s="5">
        <v>-30151</v>
      </c>
      <c r="F2870" s="3" t="s">
        <v>1422</v>
      </c>
      <c r="G2870" s="3" t="s">
        <v>39</v>
      </c>
      <c r="H2870" s="2" t="s">
        <v>21</v>
      </c>
      <c r="I2870" s="2" t="s">
        <v>6846</v>
      </c>
      <c r="J2870" s="3" t="str">
        <f>HYPERLINK("https://www.boe.es/gazeta/dias/1817/06/12/pdfs/GMD-1817-70.pdf#page=5","Abrir facsímil")</f>
        <v>Abrir facsímil</v>
      </c>
      <c r="K2870" s="3" t="s">
        <v>23</v>
      </c>
    </row>
    <row r="2871" spans="1:11" ht="42" customHeight="1">
      <c r="A2871" s="2" t="s">
        <v>6847</v>
      </c>
      <c r="B2871" s="2" t="s">
        <v>6848</v>
      </c>
      <c r="C2871" s="2" t="s">
        <v>55</v>
      </c>
      <c r="D2871" s="2" t="s">
        <v>44</v>
      </c>
      <c r="E2871" s="5">
        <v>-30128</v>
      </c>
      <c r="F2871" s="3" t="s">
        <v>761</v>
      </c>
      <c r="G2871" s="3" t="s">
        <v>3300</v>
      </c>
      <c r="H2871" s="2" t="s">
        <v>21</v>
      </c>
      <c r="I2871" s="2" t="s">
        <v>6849</v>
      </c>
      <c r="J2871" s="3" t="str">
        <f>HYPERLINK("https://www.boe.es/gazeta/dias/1817/07/05/pdfs/GMD-1817-80.pdf#page=8","Abrir facsímil")</f>
        <v>Abrir facsímil</v>
      </c>
      <c r="K2871" s="3" t="s">
        <v>23</v>
      </c>
    </row>
    <row r="2872" spans="1:11" ht="42" customHeight="1">
      <c r="A2872" s="2" t="s">
        <v>6850</v>
      </c>
      <c r="B2872" s="2" t="s">
        <v>6850</v>
      </c>
      <c r="C2872" s="2" t="s">
        <v>43</v>
      </c>
      <c r="D2872" s="2" t="s">
        <v>44</v>
      </c>
      <c r="E2872" s="5">
        <v>-29988</v>
      </c>
      <c r="F2872" s="3" t="s">
        <v>569</v>
      </c>
      <c r="G2872" s="3" t="s">
        <v>144</v>
      </c>
      <c r="H2872" s="2" t="s">
        <v>21</v>
      </c>
      <c r="I2872" s="2" t="s">
        <v>6851</v>
      </c>
      <c r="J2872" s="3" t="str">
        <f>HYPERLINK("https://www.boe.es/gazeta/dias/1817/11/22/pdfs/GMD-1817-140.pdf#page=4","Abrir facsímil")</f>
        <v>Abrir facsímil</v>
      </c>
      <c r="K2872" s="3" t="s">
        <v>23</v>
      </c>
    </row>
    <row r="2873" spans="1:11" ht="42" customHeight="1">
      <c r="A2873" s="2" t="s">
        <v>6852</v>
      </c>
      <c r="B2873" s="2" t="s">
        <v>6853</v>
      </c>
      <c r="C2873" s="2" t="s">
        <v>36</v>
      </c>
      <c r="D2873" s="2" t="s">
        <v>37</v>
      </c>
      <c r="E2873" s="5">
        <v>-29988</v>
      </c>
      <c r="F2873" s="3" t="s">
        <v>569</v>
      </c>
      <c r="G2873" s="3" t="s">
        <v>551</v>
      </c>
      <c r="H2873" s="2" t="s">
        <v>21</v>
      </c>
      <c r="I2873" s="2" t="s">
        <v>6854</v>
      </c>
      <c r="J2873" s="3" t="str">
        <f>HYPERLINK("https://www.boe.es/gazeta/dias/1817/11/22/pdfs/GMD-1817-140.pdf#page=3","Abrir facsímil")</f>
        <v>Abrir facsímil</v>
      </c>
      <c r="K2873" s="3" t="s">
        <v>23</v>
      </c>
    </row>
    <row r="2874" spans="1:11" ht="42" customHeight="1">
      <c r="A2874" s="2" t="s">
        <v>6855</v>
      </c>
      <c r="B2874" s="2" t="s">
        <v>6855</v>
      </c>
      <c r="C2874" s="2" t="s">
        <v>36</v>
      </c>
      <c r="D2874" s="2" t="s">
        <v>37</v>
      </c>
      <c r="E2874" s="5">
        <v>-30125</v>
      </c>
      <c r="F2874" s="3" t="s">
        <v>102</v>
      </c>
      <c r="G2874" s="3" t="s">
        <v>57</v>
      </c>
      <c r="H2874" s="2" t="s">
        <v>21</v>
      </c>
      <c r="I2874" s="2" t="s">
        <v>6856</v>
      </c>
      <c r="J2874" s="3" t="str">
        <f>HYPERLINK("https://www.boe.es/gazeta/dias/1817/07/08/pdfs/GMD-1817-81.pdf#page=6","Abrir facsímil")</f>
        <v>Abrir facsímil</v>
      </c>
      <c r="K2874" s="3" t="s">
        <v>23</v>
      </c>
    </row>
    <row r="2875" spans="1:11" ht="42" customHeight="1">
      <c r="A2875" s="2" t="s">
        <v>6857</v>
      </c>
      <c r="B2875" s="2" t="s">
        <v>6858</v>
      </c>
      <c r="C2875" s="2" t="s">
        <v>36</v>
      </c>
      <c r="D2875" s="2" t="s">
        <v>37</v>
      </c>
      <c r="E2875" s="5">
        <v>-30279</v>
      </c>
      <c r="F2875" s="3" t="s">
        <v>1113</v>
      </c>
      <c r="G2875" s="3" t="s">
        <v>77</v>
      </c>
      <c r="H2875" s="2" t="s">
        <v>21</v>
      </c>
      <c r="I2875" s="2" t="s">
        <v>6859</v>
      </c>
      <c r="J2875" s="3" t="str">
        <f>HYPERLINK("https://www.boe.es/gazeta/dias/1817/02/04/pdfs/GMD-1817-15.pdf#page=8","Abrir facsímil")</f>
        <v>Abrir facsímil</v>
      </c>
      <c r="K2875" s="3" t="s">
        <v>23</v>
      </c>
    </row>
    <row r="2876" spans="1:11" ht="42" customHeight="1">
      <c r="A2876" s="2" t="s">
        <v>6857</v>
      </c>
      <c r="B2876" s="2" t="s">
        <v>6858</v>
      </c>
      <c r="C2876" s="2" t="s">
        <v>36</v>
      </c>
      <c r="D2876" s="2" t="s">
        <v>37</v>
      </c>
      <c r="E2876" s="5">
        <v>-30244</v>
      </c>
      <c r="F2876" s="3" t="s">
        <v>1482</v>
      </c>
      <c r="G2876" s="3" t="s">
        <v>77</v>
      </c>
      <c r="H2876" s="2" t="s">
        <v>21</v>
      </c>
      <c r="I2876" s="2" t="s">
        <v>6860</v>
      </c>
      <c r="J2876" s="3" t="str">
        <f>HYPERLINK("https://www.boe.es/gazeta/dias/1817/03/11/pdfs/GMD-1817-30.pdf#page=8","Abrir facsímil")</f>
        <v>Abrir facsímil</v>
      </c>
      <c r="K2876" s="3" t="s">
        <v>23</v>
      </c>
    </row>
    <row r="2877" spans="1:11" ht="42" customHeight="1">
      <c r="A2877" s="2" t="s">
        <v>6857</v>
      </c>
      <c r="B2877" s="2" t="s">
        <v>6858</v>
      </c>
      <c r="C2877" s="2" t="s">
        <v>36</v>
      </c>
      <c r="D2877" s="2" t="s">
        <v>37</v>
      </c>
      <c r="E2877" s="5">
        <v>-30219</v>
      </c>
      <c r="F2877" s="3" t="s">
        <v>1346</v>
      </c>
      <c r="G2877" s="3" t="s">
        <v>1347</v>
      </c>
      <c r="H2877" s="2" t="s">
        <v>21</v>
      </c>
      <c r="I2877" s="2" t="s">
        <v>6861</v>
      </c>
      <c r="J2877" s="3" t="str">
        <f>HYPERLINK("https://www.boe.es/gazeta/dias/1817/04/05/pdfs/GMD-1817-41.pdf#page=8","Abrir facsímil")</f>
        <v>Abrir facsímil</v>
      </c>
      <c r="K2877" s="3" t="s">
        <v>23</v>
      </c>
    </row>
    <row r="2878" spans="1:11" ht="42" customHeight="1">
      <c r="A2878" s="2" t="s">
        <v>6862</v>
      </c>
      <c r="B2878" s="2" t="s">
        <v>6863</v>
      </c>
      <c r="C2878" s="2" t="s">
        <v>36</v>
      </c>
      <c r="D2878" s="2" t="s">
        <v>37</v>
      </c>
      <c r="E2878" s="5">
        <v>-30051</v>
      </c>
      <c r="F2878" s="3" t="s">
        <v>26</v>
      </c>
      <c r="G2878" s="3" t="s">
        <v>20</v>
      </c>
      <c r="H2878" s="2" t="s">
        <v>21</v>
      </c>
      <c r="I2878" s="2" t="s">
        <v>6864</v>
      </c>
      <c r="J2878" s="3" t="str">
        <f>HYPERLINK("https://www.boe.es/gazeta/dias/1817/09/20/pdfs/GMD-1817-113.pdf#page=7","Abrir facsímil")</f>
        <v>Abrir facsímil</v>
      </c>
      <c r="K2878" s="3" t="s">
        <v>23</v>
      </c>
    </row>
    <row r="2879" spans="1:11" ht="42" customHeight="1">
      <c r="A2879" s="2" t="s">
        <v>6865</v>
      </c>
      <c r="B2879" s="2" t="s">
        <v>6866</v>
      </c>
      <c r="C2879" s="2" t="s">
        <v>55</v>
      </c>
      <c r="D2879" s="2" t="s">
        <v>44</v>
      </c>
      <c r="E2879" s="5">
        <v>-30053</v>
      </c>
      <c r="F2879" s="3" t="s">
        <v>129</v>
      </c>
      <c r="G2879" s="3" t="s">
        <v>2966</v>
      </c>
      <c r="H2879" s="2" t="s">
        <v>21</v>
      </c>
      <c r="I2879" s="2" t="s">
        <v>6867</v>
      </c>
      <c r="J2879" s="3" t="str">
        <f>HYPERLINK("https://www.boe.es/gazeta/dias/1817/09/18/pdfs/GMD-1817-112.pdf#page=3","Abrir facsímil")</f>
        <v>Abrir facsímil</v>
      </c>
      <c r="K2879" s="3" t="s">
        <v>23</v>
      </c>
    </row>
    <row r="2880" spans="1:11" ht="42" customHeight="1">
      <c r="A2880" s="2" t="s">
        <v>6868</v>
      </c>
      <c r="B2880" s="2" t="s">
        <v>6869</v>
      </c>
      <c r="C2880" s="2" t="s">
        <v>17</v>
      </c>
      <c r="D2880" s="2" t="s">
        <v>18</v>
      </c>
      <c r="E2880" s="5">
        <v>-30069</v>
      </c>
      <c r="F2880" s="3" t="s">
        <v>817</v>
      </c>
      <c r="G2880" s="3" t="s">
        <v>20</v>
      </c>
      <c r="H2880" s="2" t="s">
        <v>21</v>
      </c>
      <c r="I2880" s="2" t="s">
        <v>6870</v>
      </c>
      <c r="J2880" s="3" t="str">
        <f>HYPERLINK("https://www.boe.es/gazeta/dias/1817/09/02/pdfs/GMD-1817-105.pdf#page=7","Abrir facsímil")</f>
        <v>Abrir facsímil</v>
      </c>
      <c r="K2880" s="3" t="s">
        <v>23</v>
      </c>
    </row>
    <row r="2881" spans="1:11" ht="42" customHeight="1">
      <c r="A2881" s="2" t="s">
        <v>6871</v>
      </c>
      <c r="B2881" s="2" t="s">
        <v>6872</v>
      </c>
      <c r="C2881" s="2" t="s">
        <v>17</v>
      </c>
      <c r="D2881" s="2" t="s">
        <v>18</v>
      </c>
      <c r="E2881" s="5">
        <v>-30055</v>
      </c>
      <c r="F2881" s="3" t="s">
        <v>71</v>
      </c>
      <c r="G2881" s="3" t="s">
        <v>82</v>
      </c>
      <c r="H2881" s="2" t="s">
        <v>21</v>
      </c>
      <c r="I2881" s="2" t="s">
        <v>6873</v>
      </c>
      <c r="J2881" s="3" t="str">
        <f>HYPERLINK("https://www.boe.es/gazeta/dias/1817/09/16/pdfs/GMD-1817-111.pdf#page=12","Abrir facsímil")</f>
        <v>Abrir facsímil</v>
      </c>
      <c r="K2881" s="3" t="s">
        <v>23</v>
      </c>
    </row>
    <row r="2882" spans="1:11" ht="42" customHeight="1">
      <c r="A2882" s="2" t="s">
        <v>6874</v>
      </c>
      <c r="B2882" s="2" t="s">
        <v>6875</v>
      </c>
      <c r="C2882" s="2" t="s">
        <v>17</v>
      </c>
      <c r="D2882" s="2" t="s">
        <v>18</v>
      </c>
      <c r="E2882" s="5">
        <v>-29974</v>
      </c>
      <c r="F2882" s="3" t="s">
        <v>32</v>
      </c>
      <c r="G2882" s="3" t="s">
        <v>57</v>
      </c>
      <c r="H2882" s="2" t="s">
        <v>21</v>
      </c>
      <c r="I2882" s="2" t="s">
        <v>6876</v>
      </c>
      <c r="J2882" s="3" t="str">
        <f>HYPERLINK("https://www.boe.es/gazeta/dias/1817/12/06/pdfs/GMD-1817-146.pdf#page=6","Abrir facsímil")</f>
        <v>Abrir facsímil</v>
      </c>
      <c r="K2882" s="3" t="s">
        <v>23</v>
      </c>
    </row>
    <row r="2883" spans="1:11" ht="42" customHeight="1">
      <c r="A2883" s="2" t="s">
        <v>6877</v>
      </c>
      <c r="B2883" s="2" t="s">
        <v>6878</v>
      </c>
      <c r="C2883" s="2" t="s">
        <v>43</v>
      </c>
      <c r="D2883" s="2" t="s">
        <v>44</v>
      </c>
      <c r="E2883" s="5">
        <v>-30261</v>
      </c>
      <c r="F2883" s="3" t="s">
        <v>226</v>
      </c>
      <c r="G2883" s="3" t="s">
        <v>39</v>
      </c>
      <c r="H2883" s="2" t="s">
        <v>21</v>
      </c>
      <c r="I2883" s="2" t="s">
        <v>6879</v>
      </c>
      <c r="J2883" s="3" t="str">
        <f>HYPERLINK("https://www.boe.es/gazeta/dias/1817/02/22/pdfs/GMD-1817-23.pdf#page=5","Abrir facsímil")</f>
        <v>Abrir facsímil</v>
      </c>
      <c r="K2883" s="3" t="s">
        <v>23</v>
      </c>
    </row>
    <row r="2884" spans="1:11" ht="42" customHeight="1">
      <c r="A2884" s="2" t="s">
        <v>6880</v>
      </c>
      <c r="B2884" s="2" t="s">
        <v>6881</v>
      </c>
      <c r="C2884" s="2" t="s">
        <v>36</v>
      </c>
      <c r="D2884" s="2" t="s">
        <v>37</v>
      </c>
      <c r="E2884" s="5">
        <v>-29983</v>
      </c>
      <c r="F2884" s="3" t="s">
        <v>148</v>
      </c>
      <c r="G2884" s="3" t="s">
        <v>551</v>
      </c>
      <c r="H2884" s="2" t="s">
        <v>21</v>
      </c>
      <c r="I2884" s="2" t="s">
        <v>6882</v>
      </c>
      <c r="J2884" s="3" t="str">
        <f>HYPERLINK("https://www.boe.es/gazeta/dias/1817/11/27/pdfs/GMD-1817-142.pdf#page=3","Abrir facsímil")</f>
        <v>Abrir facsímil</v>
      </c>
      <c r="K2884" s="3" t="s">
        <v>23</v>
      </c>
    </row>
    <row r="2885" spans="1:11" ht="42" customHeight="1">
      <c r="A2885" s="2" t="s">
        <v>6883</v>
      </c>
      <c r="B2885" s="2" t="s">
        <v>6884</v>
      </c>
      <c r="C2885" s="2" t="s">
        <v>36</v>
      </c>
      <c r="D2885" s="2" t="s">
        <v>37</v>
      </c>
      <c r="E2885" s="5">
        <v>-30160</v>
      </c>
      <c r="F2885" s="3" t="s">
        <v>116</v>
      </c>
      <c r="G2885" s="3" t="s">
        <v>551</v>
      </c>
      <c r="H2885" s="2" t="s">
        <v>21</v>
      </c>
      <c r="I2885" s="2" t="s">
        <v>6885</v>
      </c>
      <c r="J2885" s="3" t="str">
        <f>HYPERLINK("https://www.boe.es/gazeta/dias/1817/06/03/pdfs/GMD-1817-66.pdf#page=3","Abrir facsímil")</f>
        <v>Abrir facsímil</v>
      </c>
      <c r="K2885" s="3" t="s">
        <v>23</v>
      </c>
    </row>
    <row r="2886" spans="1:11" ht="42" customHeight="1">
      <c r="A2886" s="2" t="s">
        <v>6886</v>
      </c>
      <c r="B2886" s="2" t="s">
        <v>6887</v>
      </c>
      <c r="C2886" s="2" t="s">
        <v>17</v>
      </c>
      <c r="D2886" s="2" t="s">
        <v>18</v>
      </c>
      <c r="E2886" s="5">
        <v>-30016</v>
      </c>
      <c r="F2886" s="3" t="s">
        <v>2582</v>
      </c>
      <c r="G2886" s="3" t="s">
        <v>144</v>
      </c>
      <c r="H2886" s="2" t="s">
        <v>27</v>
      </c>
      <c r="I2886" s="2" t="s">
        <v>6888</v>
      </c>
      <c r="J2886" s="3" t="str">
        <f>HYPERLINK("https://www.boe.es/gazeta/dias/1817/10/25/pdfs/GMD-1817-128.pdf#page=4","Abrir facsímil")</f>
        <v>Abrir facsímil</v>
      </c>
      <c r="K2886" s="3" t="s">
        <v>29</v>
      </c>
    </row>
    <row r="2887" spans="1:11" ht="42" customHeight="1">
      <c r="A2887" s="2" t="s">
        <v>6889</v>
      </c>
      <c r="B2887" s="2" t="s">
        <v>6890</v>
      </c>
      <c r="C2887" s="2" t="s">
        <v>17</v>
      </c>
      <c r="D2887" s="2" t="s">
        <v>18</v>
      </c>
      <c r="E2887" s="5">
        <v>-30272</v>
      </c>
      <c r="F2887" s="3" t="s">
        <v>493</v>
      </c>
      <c r="G2887" s="3" t="s">
        <v>77</v>
      </c>
      <c r="H2887" s="2" t="s">
        <v>21</v>
      </c>
      <c r="I2887" s="2" t="s">
        <v>6891</v>
      </c>
      <c r="J2887" s="3" t="str">
        <f>HYPERLINK("https://www.boe.es/gazeta/dias/1817/02/11/pdfs/GMD-1817-18.pdf#page=8","Abrir facsímil")</f>
        <v>Abrir facsímil</v>
      </c>
      <c r="K2887" s="3" t="s">
        <v>23</v>
      </c>
    </row>
    <row r="2888" spans="1:11" ht="42" customHeight="1">
      <c r="A2888" s="2" t="s">
        <v>6892</v>
      </c>
      <c r="B2888" s="2" t="s">
        <v>6893</v>
      </c>
      <c r="C2888" s="2" t="s">
        <v>43</v>
      </c>
      <c r="D2888" s="2" t="s">
        <v>44</v>
      </c>
      <c r="E2888" s="5">
        <v>-29978</v>
      </c>
      <c r="F2888" s="3" t="s">
        <v>478</v>
      </c>
      <c r="G2888" s="3" t="s">
        <v>77</v>
      </c>
      <c r="H2888" s="2" t="s">
        <v>21</v>
      </c>
      <c r="I2888" s="2" t="s">
        <v>6894</v>
      </c>
      <c r="J2888" s="3" t="str">
        <f>HYPERLINK("https://www.boe.es/gazeta/dias/1817/12/02/pdfs/GMD-1817-144.pdf#page=8","Abrir facsímil")</f>
        <v>Abrir facsímil</v>
      </c>
      <c r="K2888" s="3" t="s">
        <v>23</v>
      </c>
    </row>
    <row r="2889" spans="1:11" ht="42" customHeight="1">
      <c r="A2889" s="2" t="s">
        <v>6895</v>
      </c>
      <c r="B2889" s="2" t="s">
        <v>6896</v>
      </c>
      <c r="C2889" s="2" t="s">
        <v>36</v>
      </c>
      <c r="D2889" s="2" t="s">
        <v>37</v>
      </c>
      <c r="E2889" s="5">
        <v>-30011</v>
      </c>
      <c r="F2889" s="3" t="s">
        <v>313</v>
      </c>
      <c r="G2889" s="3" t="s">
        <v>77</v>
      </c>
      <c r="H2889" s="2" t="s">
        <v>21</v>
      </c>
      <c r="I2889" s="2" t="s">
        <v>6897</v>
      </c>
      <c r="J2889" s="3" t="str">
        <f>HYPERLINK("https://www.boe.es/gazeta/dias/1817/10/30/pdfs/GMD-1817-130.pdf#page=8","Abrir facsímil")</f>
        <v>Abrir facsímil</v>
      </c>
      <c r="K2889" s="3" t="s">
        <v>23</v>
      </c>
    </row>
    <row r="2890" spans="1:11" ht="42" customHeight="1">
      <c r="A2890" s="2" t="s">
        <v>6898</v>
      </c>
      <c r="B2890" s="2" t="s">
        <v>6899</v>
      </c>
      <c r="C2890" s="2" t="s">
        <v>36</v>
      </c>
      <c r="D2890" s="2" t="s">
        <v>37</v>
      </c>
      <c r="E2890" s="5">
        <v>-30135</v>
      </c>
      <c r="F2890" s="3" t="s">
        <v>239</v>
      </c>
      <c r="G2890" s="3" t="s">
        <v>240</v>
      </c>
      <c r="H2890" s="2" t="s">
        <v>21</v>
      </c>
      <c r="I2890" s="2" t="s">
        <v>6900</v>
      </c>
      <c r="J2890" s="3" t="str">
        <f>HYPERLINK("https://www.boe.es/gazeta/dias/1817/06/28/pdfs/GMD-1817-77.pdf#page=7","Abrir facsímil")</f>
        <v>Abrir facsímil</v>
      </c>
      <c r="K2890" s="3" t="s">
        <v>23</v>
      </c>
    </row>
    <row r="2891" spans="1:11" ht="42" customHeight="1">
      <c r="A2891" s="2" t="s">
        <v>6901</v>
      </c>
      <c r="B2891" s="2" t="s">
        <v>6902</v>
      </c>
      <c r="C2891" s="2" t="s">
        <v>43</v>
      </c>
      <c r="D2891" s="2" t="s">
        <v>44</v>
      </c>
      <c r="E2891" s="5">
        <v>-30261</v>
      </c>
      <c r="F2891" s="3" t="s">
        <v>226</v>
      </c>
      <c r="G2891" s="3" t="s">
        <v>20</v>
      </c>
      <c r="H2891" s="2" t="s">
        <v>21</v>
      </c>
      <c r="I2891" s="2" t="s">
        <v>6903</v>
      </c>
      <c r="J2891" s="3" t="str">
        <f>HYPERLINK("https://www.boe.es/gazeta/dias/1817/02/22/pdfs/GMD-1817-23.pdf#page=7","Abrir facsímil")</f>
        <v>Abrir facsímil</v>
      </c>
      <c r="K2891" s="3" t="s">
        <v>23</v>
      </c>
    </row>
    <row r="2892" spans="1:11" ht="42" customHeight="1">
      <c r="A2892" s="2" t="s">
        <v>6904</v>
      </c>
      <c r="B2892" s="2" t="s">
        <v>6905</v>
      </c>
      <c r="C2892" s="2" t="s">
        <v>17</v>
      </c>
      <c r="D2892" s="2" t="s">
        <v>18</v>
      </c>
      <c r="E2892" s="5">
        <v>-29985</v>
      </c>
      <c r="F2892" s="3" t="s">
        <v>76</v>
      </c>
      <c r="G2892" s="3" t="s">
        <v>112</v>
      </c>
      <c r="H2892" s="2" t="s">
        <v>27</v>
      </c>
      <c r="I2892" s="2" t="s">
        <v>6906</v>
      </c>
      <c r="J2892" s="3" t="str">
        <f>HYPERLINK("https://www.boe.es/gazeta/dias/1817/11/25/pdfs/GMD-1817-141.pdf#page=11","Abrir facsímil")</f>
        <v>Abrir facsímil</v>
      </c>
      <c r="K2892" s="3" t="s">
        <v>29</v>
      </c>
    </row>
    <row r="2893" spans="1:11" ht="42" customHeight="1">
      <c r="A2893" s="2" t="s">
        <v>6907</v>
      </c>
      <c r="B2893" s="2" t="s">
        <v>6908</v>
      </c>
      <c r="C2893" s="2" t="s">
        <v>17</v>
      </c>
      <c r="D2893" s="2" t="s">
        <v>18</v>
      </c>
      <c r="E2893" s="5">
        <v>-29999</v>
      </c>
      <c r="F2893" s="3" t="s">
        <v>471</v>
      </c>
      <c r="G2893" s="3" t="s">
        <v>20</v>
      </c>
      <c r="H2893" s="2" t="s">
        <v>27</v>
      </c>
      <c r="I2893" s="2" t="s">
        <v>6909</v>
      </c>
      <c r="J2893" s="3" t="str">
        <f>HYPERLINK("https://www.boe.es/gazeta/dias/1817/11/11/pdfs/GMD-1817-135.pdf#page=7","Abrir facsímil")</f>
        <v>Abrir facsímil</v>
      </c>
      <c r="K2893" s="3" t="s">
        <v>29</v>
      </c>
    </row>
    <row r="2894" spans="1:11" ht="42" customHeight="1">
      <c r="A2894" s="2" t="s">
        <v>6910</v>
      </c>
      <c r="B2894" s="2" t="s">
        <v>6911</v>
      </c>
      <c r="C2894" s="2" t="s">
        <v>49</v>
      </c>
      <c r="D2894" s="2" t="s">
        <v>44</v>
      </c>
      <c r="E2894" s="5">
        <v>-30016</v>
      </c>
      <c r="F2894" s="3" t="s">
        <v>2582</v>
      </c>
      <c r="G2894" s="3" t="s">
        <v>77</v>
      </c>
      <c r="H2894" s="2" t="s">
        <v>21</v>
      </c>
      <c r="I2894" s="2" t="s">
        <v>6912</v>
      </c>
      <c r="J2894" s="3" t="str">
        <f>HYPERLINK("https://www.boe.es/gazeta/dias/1817/10/25/pdfs/GMD-1817-128.pdf#page=8","Abrir facsímil")</f>
        <v>Abrir facsímil</v>
      </c>
      <c r="K2894" s="3" t="s">
        <v>23</v>
      </c>
    </row>
    <row r="2895" spans="1:11" ht="42" customHeight="1">
      <c r="A2895" s="2" t="s">
        <v>6913</v>
      </c>
      <c r="B2895" s="2" t="s">
        <v>6914</v>
      </c>
      <c r="C2895" s="2" t="s">
        <v>36</v>
      </c>
      <c r="D2895" s="2" t="s">
        <v>37</v>
      </c>
      <c r="E2895" s="5">
        <v>-30296</v>
      </c>
      <c r="F2895" s="3" t="s">
        <v>357</v>
      </c>
      <c r="G2895" s="3" t="s">
        <v>4548</v>
      </c>
      <c r="H2895" s="2" t="s">
        <v>21</v>
      </c>
      <c r="I2895" s="2" t="s">
        <v>6915</v>
      </c>
      <c r="J2895" s="3" t="str">
        <f>HYPERLINK("https://www.boe.es/gazeta/dias/1817/01/18/pdfs/GMD-1817-8.pdf#page=4","Abrir facsímil")</f>
        <v>Abrir facsímil</v>
      </c>
      <c r="K2895" s="3" t="s">
        <v>23</v>
      </c>
    </row>
    <row r="2896" spans="1:11" ht="42" customHeight="1">
      <c r="A2896" s="2" t="s">
        <v>6916</v>
      </c>
      <c r="B2896" s="2" t="s">
        <v>6917</v>
      </c>
      <c r="C2896" s="2" t="s">
        <v>17</v>
      </c>
      <c r="D2896" s="2" t="s">
        <v>18</v>
      </c>
      <c r="E2896" s="5">
        <v>-30205</v>
      </c>
      <c r="F2896" s="3" t="s">
        <v>139</v>
      </c>
      <c r="G2896" s="3" t="s">
        <v>77</v>
      </c>
      <c r="H2896" s="2" t="s">
        <v>27</v>
      </c>
      <c r="I2896" s="2" t="s">
        <v>6918</v>
      </c>
      <c r="J2896" s="3" t="str">
        <f>HYPERLINK("https://www.boe.es/gazeta/dias/1817/04/19/pdfs/GMD-1817-47.pdf#page=8","Abrir facsímil")</f>
        <v>Abrir facsímil</v>
      </c>
      <c r="K2896" s="3" t="s">
        <v>29</v>
      </c>
    </row>
    <row r="2897" spans="1:11" ht="42" customHeight="1">
      <c r="A2897" s="2" t="s">
        <v>6919</v>
      </c>
      <c r="B2897" s="2" t="s">
        <v>6919</v>
      </c>
      <c r="C2897" s="2" t="s">
        <v>17</v>
      </c>
      <c r="D2897" s="2" t="s">
        <v>18</v>
      </c>
      <c r="E2897" s="5">
        <v>-30258</v>
      </c>
      <c r="F2897" s="3" t="s">
        <v>234</v>
      </c>
      <c r="G2897" s="3" t="s">
        <v>3346</v>
      </c>
      <c r="H2897" s="2" t="s">
        <v>21</v>
      </c>
      <c r="I2897" s="2" t="s">
        <v>6920</v>
      </c>
      <c r="J2897" s="3" t="str">
        <f>HYPERLINK("https://www.boe.es/gazeta/dias/1817/02/25/pdfs/GMD-1817-24.pdf#page=2","Abrir facsímil")</f>
        <v>Abrir facsímil</v>
      </c>
      <c r="K2897" s="3" t="s">
        <v>23</v>
      </c>
    </row>
    <row r="2898" spans="1:11" ht="42" customHeight="1">
      <c r="A2898" s="2" t="s">
        <v>6921</v>
      </c>
      <c r="B2898" s="2" t="s">
        <v>6922</v>
      </c>
      <c r="C2898" s="2" t="s">
        <v>43</v>
      </c>
      <c r="D2898" s="2" t="s">
        <v>44</v>
      </c>
      <c r="E2898" s="5">
        <v>-30303</v>
      </c>
      <c r="F2898" s="3" t="s">
        <v>407</v>
      </c>
      <c r="G2898" s="3" t="s">
        <v>39</v>
      </c>
      <c r="H2898" s="2" t="s">
        <v>21</v>
      </c>
      <c r="I2898" s="2" t="s">
        <v>6923</v>
      </c>
      <c r="J2898" s="3" t="str">
        <f>HYPERLINK("https://www.boe.es/gazeta/dias/1817/01/11/pdfs/GMD-1817-5.pdf#page=5","Abrir facsímil")</f>
        <v>Abrir facsímil</v>
      </c>
      <c r="K2898" s="3" t="s">
        <v>23</v>
      </c>
    </row>
    <row r="2899" spans="1:11" ht="42" customHeight="1">
      <c r="A2899" s="2" t="s">
        <v>6924</v>
      </c>
      <c r="B2899" s="2" t="s">
        <v>6925</v>
      </c>
      <c r="C2899" s="2" t="s">
        <v>36</v>
      </c>
      <c r="D2899" s="2" t="s">
        <v>37</v>
      </c>
      <c r="E2899" s="5">
        <v>-30048</v>
      </c>
      <c r="F2899" s="3" t="s">
        <v>573</v>
      </c>
      <c r="G2899" s="3" t="s">
        <v>20</v>
      </c>
      <c r="H2899" s="2" t="s">
        <v>21</v>
      </c>
      <c r="I2899" s="2" t="s">
        <v>6926</v>
      </c>
      <c r="J2899" s="3" t="str">
        <f>HYPERLINK("https://www.boe.es/gazeta/dias/1817/09/23/pdfs/GMD-1817-114.pdf#page=7","Abrir facsímil")</f>
        <v>Abrir facsímil</v>
      </c>
      <c r="K2899" s="3" t="s">
        <v>23</v>
      </c>
    </row>
    <row r="2900" spans="1:11" ht="42" customHeight="1">
      <c r="A2900" s="2" t="s">
        <v>6927</v>
      </c>
      <c r="B2900" s="2" t="s">
        <v>6928</v>
      </c>
      <c r="C2900" s="2" t="s">
        <v>36</v>
      </c>
      <c r="D2900" s="2" t="s">
        <v>37</v>
      </c>
      <c r="E2900" s="5">
        <v>-29983</v>
      </c>
      <c r="F2900" s="3" t="s">
        <v>148</v>
      </c>
      <c r="G2900" s="3" t="s">
        <v>654</v>
      </c>
      <c r="H2900" s="2" t="s">
        <v>21</v>
      </c>
      <c r="I2900" s="2" t="s">
        <v>6929</v>
      </c>
      <c r="J2900" s="3" t="str">
        <f>HYPERLINK("https://www.boe.es/gazeta/dias/1817/11/27/pdfs/GMD-1817-142.pdf#page=4","Abrir facsímil")</f>
        <v>Abrir facsímil</v>
      </c>
      <c r="K2900" s="3" t="s">
        <v>23</v>
      </c>
    </row>
    <row r="2901" spans="1:11" ht="42" customHeight="1">
      <c r="A2901" s="2" t="s">
        <v>6930</v>
      </c>
      <c r="B2901" s="2" t="s">
        <v>6931</v>
      </c>
      <c r="C2901" s="2" t="s">
        <v>36</v>
      </c>
      <c r="D2901" s="2" t="s">
        <v>37</v>
      </c>
      <c r="E2901" s="5">
        <v>-30011</v>
      </c>
      <c r="F2901" s="3" t="s">
        <v>313</v>
      </c>
      <c r="G2901" s="3" t="s">
        <v>1736</v>
      </c>
      <c r="H2901" s="2" t="s">
        <v>21</v>
      </c>
      <c r="I2901" s="2" t="s">
        <v>6932</v>
      </c>
      <c r="J2901" s="3" t="str">
        <f>HYPERLINK("https://www.boe.es/gazeta/dias/1817/10/30/pdfs/GMD-1817-130.pdf#page=11","Abrir facsímil")</f>
        <v>Abrir facsímil</v>
      </c>
      <c r="K2901" s="3" t="s">
        <v>23</v>
      </c>
    </row>
    <row r="2902" spans="1:11" ht="42" customHeight="1">
      <c r="A2902" s="2" t="s">
        <v>6930</v>
      </c>
      <c r="B2902" s="2" t="s">
        <v>6931</v>
      </c>
      <c r="C2902" s="2" t="s">
        <v>36</v>
      </c>
      <c r="D2902" s="2" t="s">
        <v>37</v>
      </c>
      <c r="E2902" s="5">
        <v>-30011</v>
      </c>
      <c r="F2902" s="3" t="s">
        <v>313</v>
      </c>
      <c r="G2902" s="3" t="s">
        <v>77</v>
      </c>
      <c r="H2902" s="2" t="s">
        <v>21</v>
      </c>
      <c r="I2902" s="2" t="s">
        <v>6933</v>
      </c>
      <c r="J2902" s="3" t="str">
        <f>HYPERLINK("https://www.boe.es/gazeta/dias/1817/10/30/pdfs/GMD-1817-130.pdf#page=8","Abrir facsímil")</f>
        <v>Abrir facsímil</v>
      </c>
      <c r="K2902" s="3" t="s">
        <v>23</v>
      </c>
    </row>
    <row r="2903" spans="1:11" ht="42" customHeight="1">
      <c r="A2903" s="2" t="s">
        <v>6934</v>
      </c>
      <c r="B2903" s="2" t="s">
        <v>6934</v>
      </c>
      <c r="C2903" s="2" t="s">
        <v>36</v>
      </c>
      <c r="D2903" s="2" t="s">
        <v>37</v>
      </c>
      <c r="E2903" s="5">
        <v>-30079</v>
      </c>
      <c r="F2903" s="3" t="s">
        <v>45</v>
      </c>
      <c r="G2903" s="3" t="s">
        <v>629</v>
      </c>
      <c r="H2903" s="2" t="s">
        <v>21</v>
      </c>
      <c r="I2903" s="2" t="s">
        <v>6935</v>
      </c>
      <c r="J2903" s="3" t="str">
        <f>HYPERLINK("https://www.boe.es/gazeta/dias/1817/08/23/pdfs/GMD-1817-101.pdf#page=2","Abrir facsímil")</f>
        <v>Abrir facsímil</v>
      </c>
      <c r="K2903" s="3" t="s">
        <v>23</v>
      </c>
    </row>
    <row r="2904" spans="1:11" ht="42" customHeight="1">
      <c r="A2904" s="2" t="s">
        <v>6936</v>
      </c>
      <c r="B2904" s="2" t="s">
        <v>6936</v>
      </c>
      <c r="C2904" s="2" t="s">
        <v>43</v>
      </c>
      <c r="D2904" s="2" t="s">
        <v>44</v>
      </c>
      <c r="E2904" s="5">
        <v>-30072</v>
      </c>
      <c r="F2904" s="3" t="s">
        <v>442</v>
      </c>
      <c r="G2904" s="3" t="s">
        <v>1534</v>
      </c>
      <c r="H2904" s="2" t="s">
        <v>21</v>
      </c>
      <c r="I2904" s="2" t="s">
        <v>6937</v>
      </c>
      <c r="J2904" s="3" t="str">
        <f>HYPERLINK("https://www.boe.es/gazeta/dias/1817/08/30/pdfs/GMD-1817-104.pdf#page=2","Abrir facsímil")</f>
        <v>Abrir facsímil</v>
      </c>
      <c r="K2904" s="3" t="s">
        <v>23</v>
      </c>
    </row>
    <row r="2905" spans="1:11" ht="42" customHeight="1">
      <c r="A2905" s="2" t="s">
        <v>6938</v>
      </c>
      <c r="B2905" s="2" t="s">
        <v>6939</v>
      </c>
      <c r="C2905" s="2" t="s">
        <v>17</v>
      </c>
      <c r="D2905" s="2" t="s">
        <v>18</v>
      </c>
      <c r="E2905" s="5">
        <v>-30086</v>
      </c>
      <c r="F2905" s="3" t="s">
        <v>221</v>
      </c>
      <c r="G2905" s="3" t="s">
        <v>222</v>
      </c>
      <c r="H2905" s="2" t="s">
        <v>21</v>
      </c>
      <c r="I2905" s="2" t="s">
        <v>6940</v>
      </c>
      <c r="J2905" s="3" t="str">
        <f>HYPERLINK("https://www.boe.es/gazeta/dias/1817/08/16/pdfs/GMD-1817-98.pdf#page=8","Abrir facsímil")</f>
        <v>Abrir facsímil</v>
      </c>
      <c r="K2905" s="3" t="s">
        <v>23</v>
      </c>
    </row>
    <row r="2906" spans="1:11" ht="42" customHeight="1">
      <c r="A2906" s="2" t="s">
        <v>6941</v>
      </c>
      <c r="B2906" s="2" t="s">
        <v>6942</v>
      </c>
      <c r="C2906" s="2" t="s">
        <v>49</v>
      </c>
      <c r="D2906" s="2" t="s">
        <v>44</v>
      </c>
      <c r="E2906" s="5">
        <v>-30048</v>
      </c>
      <c r="F2906" s="3" t="s">
        <v>573</v>
      </c>
      <c r="G2906" s="3" t="s">
        <v>77</v>
      </c>
      <c r="H2906" s="2" t="s">
        <v>21</v>
      </c>
      <c r="I2906" s="2" t="s">
        <v>6943</v>
      </c>
      <c r="J2906" s="3" t="str">
        <f>HYPERLINK("https://www.boe.es/gazeta/dias/1817/09/23/pdfs/GMD-1817-114.pdf#page=8","Abrir facsímil")</f>
        <v>Abrir facsímil</v>
      </c>
      <c r="K2906" s="3" t="s">
        <v>23</v>
      </c>
    </row>
    <row r="2907" spans="1:11" ht="42" customHeight="1">
      <c r="A2907" s="2" t="s">
        <v>6944</v>
      </c>
      <c r="B2907" s="2" t="s">
        <v>6945</v>
      </c>
      <c r="C2907" s="2" t="s">
        <v>43</v>
      </c>
      <c r="D2907" s="2" t="s">
        <v>44</v>
      </c>
      <c r="E2907" s="5">
        <v>-30065</v>
      </c>
      <c r="F2907" s="3" t="s">
        <v>201</v>
      </c>
      <c r="G2907" s="3" t="s">
        <v>57</v>
      </c>
      <c r="H2907" s="2" t="s">
        <v>21</v>
      </c>
      <c r="I2907" s="2" t="s">
        <v>6946</v>
      </c>
      <c r="J2907" s="3" t="str">
        <f>HYPERLINK("https://www.boe.es/gazeta/dias/1817/09/06/pdfs/GMD-1817-107.pdf#page=6","Abrir facsímil")</f>
        <v>Abrir facsímil</v>
      </c>
      <c r="K2907" s="3" t="s">
        <v>23</v>
      </c>
    </row>
    <row r="2908" spans="1:11" ht="42" customHeight="1">
      <c r="A2908" s="2" t="s">
        <v>6947</v>
      </c>
      <c r="B2908" s="2" t="s">
        <v>6948</v>
      </c>
      <c r="C2908" s="2" t="s">
        <v>43</v>
      </c>
      <c r="D2908" s="2" t="s">
        <v>44</v>
      </c>
      <c r="E2908" s="5">
        <v>-29983</v>
      </c>
      <c r="F2908" s="3" t="s">
        <v>148</v>
      </c>
      <c r="G2908" s="3" t="s">
        <v>57</v>
      </c>
      <c r="H2908" s="2" t="s">
        <v>27</v>
      </c>
      <c r="I2908" s="2" t="s">
        <v>6949</v>
      </c>
      <c r="J2908" s="3" t="str">
        <f>HYPERLINK("https://www.boe.es/gazeta/dias/1817/11/27/pdfs/GMD-1817-142.pdf#page=6","Abrir facsímil")</f>
        <v>Abrir facsímil</v>
      </c>
      <c r="K2908" s="3" t="s">
        <v>29</v>
      </c>
    </row>
    <row r="2909" spans="1:11" ht="42" customHeight="1">
      <c r="A2909" s="2" t="s">
        <v>6950</v>
      </c>
      <c r="B2909" s="2" t="s">
        <v>6951</v>
      </c>
      <c r="C2909" s="2" t="s">
        <v>138</v>
      </c>
      <c r="D2909" s="2" t="s">
        <v>44</v>
      </c>
      <c r="E2909" s="5">
        <v>-30069</v>
      </c>
      <c r="F2909" s="3" t="s">
        <v>817</v>
      </c>
      <c r="G2909" s="3" t="s">
        <v>818</v>
      </c>
      <c r="H2909" s="2" t="s">
        <v>21</v>
      </c>
      <c r="I2909" s="2" t="s">
        <v>6952</v>
      </c>
      <c r="J2909" s="3" t="str">
        <f>HYPERLINK("https://www.boe.es/gazeta/dias/1817/09/02/pdfs/GMD-1817-105.pdf#page=8","Abrir facsímil")</f>
        <v>Abrir facsímil</v>
      </c>
      <c r="K2909" s="3" t="s">
        <v>23</v>
      </c>
    </row>
    <row r="2910" spans="1:11" ht="42" customHeight="1">
      <c r="A2910" s="2" t="s">
        <v>6953</v>
      </c>
      <c r="B2910" s="2" t="s">
        <v>6954</v>
      </c>
      <c r="C2910" s="2" t="s">
        <v>43</v>
      </c>
      <c r="D2910" s="2" t="s">
        <v>44</v>
      </c>
      <c r="E2910" s="5">
        <v>-30286</v>
      </c>
      <c r="F2910" s="3" t="s">
        <v>354</v>
      </c>
      <c r="G2910" s="3" t="s">
        <v>1580</v>
      </c>
      <c r="H2910" s="2" t="s">
        <v>27</v>
      </c>
      <c r="I2910" s="2" t="s">
        <v>6955</v>
      </c>
      <c r="J2910" s="3" t="str">
        <f>HYPERLINK("https://www.boe.es/gazeta/dias/1817/01/28/pdfs/GMD-1817-12.pdf#page=5","Abrir facsímil")</f>
        <v>Abrir facsímil</v>
      </c>
      <c r="K2910" s="3" t="s">
        <v>29</v>
      </c>
    </row>
    <row r="2911" spans="1:11" ht="42" customHeight="1">
      <c r="A2911" s="2" t="s">
        <v>6956</v>
      </c>
      <c r="B2911" s="2" t="s">
        <v>6957</v>
      </c>
      <c r="C2911" s="2" t="s">
        <v>17</v>
      </c>
      <c r="D2911" s="2" t="s">
        <v>18</v>
      </c>
      <c r="E2911" s="5">
        <v>-30081</v>
      </c>
      <c r="F2911" s="3" t="s">
        <v>133</v>
      </c>
      <c r="G2911" s="3" t="s">
        <v>82</v>
      </c>
      <c r="H2911" s="2" t="s">
        <v>21</v>
      </c>
      <c r="I2911" s="2" t="s">
        <v>6958</v>
      </c>
      <c r="J2911" s="3" t="str">
        <f>HYPERLINK("https://www.boe.es/gazeta/dias/1817/08/21/pdfs/GMD-1817-100.pdf#page=12","Abrir facsímil")</f>
        <v>Abrir facsímil</v>
      </c>
      <c r="K2911" s="3" t="s">
        <v>23</v>
      </c>
    </row>
    <row r="2912" spans="1:11" ht="42" customHeight="1">
      <c r="A2912" s="2" t="s">
        <v>6959</v>
      </c>
      <c r="B2912" s="2" t="s">
        <v>6960</v>
      </c>
      <c r="C2912" s="2" t="s">
        <v>43</v>
      </c>
      <c r="D2912" s="2" t="s">
        <v>44</v>
      </c>
      <c r="E2912" s="5">
        <v>-30226</v>
      </c>
      <c r="F2912" s="3" t="s">
        <v>416</v>
      </c>
      <c r="G2912" s="3" t="s">
        <v>144</v>
      </c>
      <c r="H2912" s="2" t="s">
        <v>21</v>
      </c>
      <c r="I2912" s="2" t="s">
        <v>6961</v>
      </c>
      <c r="J2912" s="3" t="str">
        <f>HYPERLINK("https://www.boe.es/gazeta/dias/1817/03/29/pdfs/GMD-1817-38.pdf#page=4","Abrir facsímil")</f>
        <v>Abrir facsímil</v>
      </c>
      <c r="K2912" s="3" t="s">
        <v>23</v>
      </c>
    </row>
    <row r="2913" spans="1:11" ht="42" customHeight="1">
      <c r="A2913" s="2" t="s">
        <v>6962</v>
      </c>
      <c r="B2913" s="2" t="s">
        <v>6962</v>
      </c>
      <c r="C2913" s="2" t="s">
        <v>43</v>
      </c>
      <c r="D2913" s="2" t="s">
        <v>44</v>
      </c>
      <c r="E2913" s="5">
        <v>-30310</v>
      </c>
      <c r="F2913" s="3" t="s">
        <v>93</v>
      </c>
      <c r="G2913" s="3" t="s">
        <v>629</v>
      </c>
      <c r="H2913" s="2" t="s">
        <v>21</v>
      </c>
      <c r="I2913" s="2" t="s">
        <v>6963</v>
      </c>
      <c r="J2913" s="3" t="str">
        <f>HYPERLINK("https://www.boe.es/gazeta/dias/1817/01/04/pdfs/GMD-1817-2.pdf#page=2","Abrir facsímil")</f>
        <v>Abrir facsímil</v>
      </c>
      <c r="K2913" s="3" t="s">
        <v>23</v>
      </c>
    </row>
    <row r="2914" spans="1:11" ht="42" customHeight="1">
      <c r="A2914" s="2" t="s">
        <v>6964</v>
      </c>
      <c r="B2914" s="2" t="s">
        <v>6965</v>
      </c>
      <c r="C2914" s="2" t="s">
        <v>36</v>
      </c>
      <c r="D2914" s="2" t="s">
        <v>37</v>
      </c>
      <c r="E2914" s="5">
        <v>-30198</v>
      </c>
      <c r="F2914" s="3" t="s">
        <v>2185</v>
      </c>
      <c r="G2914" s="3" t="s">
        <v>2429</v>
      </c>
      <c r="H2914" s="2" t="s">
        <v>21</v>
      </c>
      <c r="I2914" s="2" t="s">
        <v>6966</v>
      </c>
      <c r="J2914" s="3" t="str">
        <f>HYPERLINK("https://www.boe.es/gazeta/dias/1817/04/26/pdfs/GMD-1817-50.pdf#page=7","Abrir facsímil")</f>
        <v>Abrir facsímil</v>
      </c>
      <c r="K2914" s="3" t="s">
        <v>23</v>
      </c>
    </row>
    <row r="2915" spans="1:11" ht="42" customHeight="1">
      <c r="A2915" s="2" t="s">
        <v>6967</v>
      </c>
      <c r="B2915" s="2" t="s">
        <v>6967</v>
      </c>
      <c r="C2915" s="2" t="s">
        <v>36</v>
      </c>
      <c r="D2915" s="2" t="s">
        <v>37</v>
      </c>
      <c r="E2915" s="5">
        <v>-30109</v>
      </c>
      <c r="F2915" s="3" t="s">
        <v>205</v>
      </c>
      <c r="G2915" s="3" t="s">
        <v>112</v>
      </c>
      <c r="H2915" s="2" t="s">
        <v>21</v>
      </c>
      <c r="I2915" s="2" t="s">
        <v>6968</v>
      </c>
      <c r="J2915" s="3" t="str">
        <f>HYPERLINK("https://www.boe.es/gazeta/dias/1817/07/24/pdfs/GMD-1817-88.pdf#page=11","Abrir facsímil")</f>
        <v>Abrir facsímil</v>
      </c>
      <c r="K2915" s="3" t="s">
        <v>23</v>
      </c>
    </row>
    <row r="2916" spans="1:11" ht="42" customHeight="1">
      <c r="A2916" s="2" t="s">
        <v>6969</v>
      </c>
      <c r="B2916" s="2" t="s">
        <v>6969</v>
      </c>
      <c r="C2916" s="2" t="s">
        <v>36</v>
      </c>
      <c r="D2916" s="2" t="s">
        <v>37</v>
      </c>
      <c r="E2916" s="5">
        <v>-30109</v>
      </c>
      <c r="F2916" s="3" t="s">
        <v>205</v>
      </c>
      <c r="G2916" s="3" t="s">
        <v>6663</v>
      </c>
      <c r="H2916" s="2" t="s">
        <v>21</v>
      </c>
      <c r="I2916" s="2" t="s">
        <v>6970</v>
      </c>
      <c r="J2916" s="3" t="str">
        <f>HYPERLINK("https://www.boe.es/gazeta/dias/1817/07/24/pdfs/GMD-1817-88.pdf#page=14","Abrir facsímil")</f>
        <v>Abrir facsímil</v>
      </c>
      <c r="K2916" s="3" t="s">
        <v>23</v>
      </c>
    </row>
    <row r="2917" spans="1:11" ht="42" customHeight="1">
      <c r="A2917" s="2" t="s">
        <v>6969</v>
      </c>
      <c r="B2917" s="2" t="s">
        <v>6969</v>
      </c>
      <c r="C2917" s="2" t="s">
        <v>43</v>
      </c>
      <c r="D2917" s="2" t="s">
        <v>44</v>
      </c>
      <c r="E2917" s="5">
        <v>-30072</v>
      </c>
      <c r="F2917" s="3" t="s">
        <v>442</v>
      </c>
      <c r="G2917" s="3" t="s">
        <v>1767</v>
      </c>
      <c r="H2917" s="2" t="s">
        <v>21</v>
      </c>
      <c r="I2917" s="2" t="s">
        <v>6971</v>
      </c>
      <c r="J2917" s="3" t="str">
        <f>HYPERLINK("https://www.boe.es/gazeta/dias/1817/08/30/pdfs/GMD-1817-104.pdf#page=8","Abrir facsímil")</f>
        <v>Abrir facsímil</v>
      </c>
      <c r="K2917" s="3" t="s">
        <v>23</v>
      </c>
    </row>
    <row r="2918" spans="1:11" ht="42" customHeight="1">
      <c r="A2918" s="2" t="s">
        <v>6972</v>
      </c>
      <c r="B2918" s="2" t="s">
        <v>6973</v>
      </c>
      <c r="C2918" s="2" t="s">
        <v>97</v>
      </c>
      <c r="D2918" s="2" t="s">
        <v>44</v>
      </c>
      <c r="E2918" s="5">
        <v>-29990</v>
      </c>
      <c r="F2918" s="3" t="s">
        <v>542</v>
      </c>
      <c r="G2918" s="3" t="s">
        <v>77</v>
      </c>
      <c r="H2918" s="2" t="s">
        <v>21</v>
      </c>
      <c r="I2918" s="2" t="s">
        <v>6974</v>
      </c>
      <c r="J2918" s="3" t="str">
        <f>HYPERLINK("https://www.boe.es/gazeta/dias/1817/11/20/pdfs/GMD-1817-139.pdf#page=8","Abrir facsímil")</f>
        <v>Abrir facsímil</v>
      </c>
      <c r="K2918" s="3" t="s">
        <v>23</v>
      </c>
    </row>
    <row r="2919" spans="1:11" ht="42" customHeight="1">
      <c r="A2919" s="2" t="s">
        <v>6975</v>
      </c>
      <c r="B2919" s="2" t="s">
        <v>6976</v>
      </c>
      <c r="C2919" s="2" t="s">
        <v>43</v>
      </c>
      <c r="D2919" s="2" t="s">
        <v>44</v>
      </c>
      <c r="E2919" s="5">
        <v>-30265</v>
      </c>
      <c r="F2919" s="3" t="s">
        <v>107</v>
      </c>
      <c r="G2919" s="3" t="s">
        <v>997</v>
      </c>
      <c r="H2919" s="2" t="s">
        <v>27</v>
      </c>
      <c r="I2919" s="2" t="s">
        <v>6977</v>
      </c>
      <c r="J2919" s="3" t="str">
        <f>HYPERLINK("https://www.boe.es/gazeta/dias/1817/02/18/pdfs/GMD-1817-21.pdf#page=5","Abrir facsímil")</f>
        <v>Abrir facsímil</v>
      </c>
      <c r="K2919" s="3" t="s">
        <v>29</v>
      </c>
    </row>
    <row r="2920" spans="1:11" ht="42" customHeight="1">
      <c r="A2920" s="2" t="s">
        <v>6978</v>
      </c>
      <c r="B2920" s="2" t="s">
        <v>6979</v>
      </c>
      <c r="C2920" s="2" t="s">
        <v>97</v>
      </c>
      <c r="D2920" s="2" t="s">
        <v>44</v>
      </c>
      <c r="E2920" s="5">
        <v>-29990</v>
      </c>
      <c r="F2920" s="3" t="s">
        <v>542</v>
      </c>
      <c r="G2920" s="3" t="s">
        <v>77</v>
      </c>
      <c r="H2920" s="2" t="s">
        <v>21</v>
      </c>
      <c r="I2920" s="2" t="s">
        <v>6980</v>
      </c>
      <c r="J2920" s="3" t="str">
        <f>HYPERLINK("https://www.boe.es/gazeta/dias/1817/11/20/pdfs/GMD-1817-139.pdf#page=8","Abrir facsímil")</f>
        <v>Abrir facsímil</v>
      </c>
      <c r="K2920" s="3" t="s">
        <v>23</v>
      </c>
    </row>
    <row r="2921" spans="1:11" ht="42" customHeight="1">
      <c r="A2921" s="2" t="s">
        <v>6981</v>
      </c>
      <c r="B2921" s="2" t="s">
        <v>6982</v>
      </c>
      <c r="C2921" s="2" t="s">
        <v>510</v>
      </c>
      <c r="D2921" s="2" t="s">
        <v>44</v>
      </c>
      <c r="E2921" s="5">
        <v>-30181</v>
      </c>
      <c r="F2921" s="3" t="s">
        <v>3337</v>
      </c>
      <c r="G2921" s="3" t="s">
        <v>4311</v>
      </c>
      <c r="H2921" s="2" t="s">
        <v>21</v>
      </c>
      <c r="I2921" s="2" t="s">
        <v>6983</v>
      </c>
      <c r="J2921" s="3" t="str">
        <f>HYPERLINK("https://www.boe.es/gazeta/dias/1817/05/13/pdfs/GMD-1817-57.pdf#page=8","Abrir facsímil")</f>
        <v>Abrir facsímil</v>
      </c>
      <c r="K2921" s="3" t="s">
        <v>23</v>
      </c>
    </row>
    <row r="2922" spans="1:11" ht="42" customHeight="1">
      <c r="A2922" s="2" t="s">
        <v>6984</v>
      </c>
      <c r="B2922" s="2" t="s">
        <v>6985</v>
      </c>
      <c r="C2922" s="2" t="s">
        <v>97</v>
      </c>
      <c r="D2922" s="2" t="s">
        <v>44</v>
      </c>
      <c r="E2922" s="5">
        <v>-30048</v>
      </c>
      <c r="F2922" s="3" t="s">
        <v>573</v>
      </c>
      <c r="G2922" s="3" t="s">
        <v>77</v>
      </c>
      <c r="H2922" s="2" t="s">
        <v>21</v>
      </c>
      <c r="I2922" s="2" t="s">
        <v>6986</v>
      </c>
      <c r="J2922" s="3" t="str">
        <f>HYPERLINK("https://www.boe.es/gazeta/dias/1817/09/23/pdfs/GMD-1817-114.pdf#page=8","Abrir facsímil")</f>
        <v>Abrir facsímil</v>
      </c>
      <c r="K2922" s="3" t="s">
        <v>23</v>
      </c>
    </row>
    <row r="2923" spans="1:11" ht="42" customHeight="1">
      <c r="A2923" s="2" t="s">
        <v>6987</v>
      </c>
      <c r="B2923" s="2" t="s">
        <v>6988</v>
      </c>
      <c r="C2923" s="2" t="s">
        <v>43</v>
      </c>
      <c r="D2923" s="2" t="s">
        <v>44</v>
      </c>
      <c r="E2923" s="5">
        <v>-30079</v>
      </c>
      <c r="F2923" s="3" t="s">
        <v>45</v>
      </c>
      <c r="G2923" s="3" t="s">
        <v>39</v>
      </c>
      <c r="H2923" s="2" t="s">
        <v>21</v>
      </c>
      <c r="I2923" s="2" t="s">
        <v>6989</v>
      </c>
      <c r="J2923" s="3" t="str">
        <f>HYPERLINK("https://www.boe.es/gazeta/dias/1817/08/23/pdfs/GMD-1817-101.pdf#page=5","Abrir facsímil")</f>
        <v>Abrir facsímil</v>
      </c>
      <c r="K2923" s="3" t="s">
        <v>23</v>
      </c>
    </row>
    <row r="2924" spans="1:11" ht="42" customHeight="1">
      <c r="A2924" s="2" t="s">
        <v>6990</v>
      </c>
      <c r="B2924" s="2" t="s">
        <v>6991</v>
      </c>
      <c r="C2924" s="2" t="s">
        <v>43</v>
      </c>
      <c r="D2924" s="2" t="s">
        <v>44</v>
      </c>
      <c r="E2924" s="5">
        <v>-30160</v>
      </c>
      <c r="F2924" s="3" t="s">
        <v>116</v>
      </c>
      <c r="G2924" s="3" t="s">
        <v>567</v>
      </c>
      <c r="H2924" s="2" t="s">
        <v>21</v>
      </c>
      <c r="I2924" s="2" t="s">
        <v>6992</v>
      </c>
      <c r="J2924" s="3" t="str">
        <f>HYPERLINK("https://www.boe.es/gazeta/dias/1817/06/03/pdfs/GMD-1817-66.pdf#page=6","Abrir facsímil")</f>
        <v>Abrir facsímil</v>
      </c>
      <c r="K2924" s="3" t="s">
        <v>23</v>
      </c>
    </row>
    <row r="2925" spans="1:11" ht="42" customHeight="1">
      <c r="A2925" s="2" t="s">
        <v>6993</v>
      </c>
      <c r="B2925" s="2" t="s">
        <v>6994</v>
      </c>
      <c r="C2925" s="2" t="s">
        <v>36</v>
      </c>
      <c r="D2925" s="2" t="s">
        <v>37</v>
      </c>
      <c r="E2925" s="5">
        <v>-30216</v>
      </c>
      <c r="F2925" s="3" t="s">
        <v>344</v>
      </c>
      <c r="G2925" s="3" t="s">
        <v>20</v>
      </c>
      <c r="H2925" s="2" t="s">
        <v>21</v>
      </c>
      <c r="I2925" s="2" t="s">
        <v>6995</v>
      </c>
      <c r="J2925" s="3" t="str">
        <f>HYPERLINK("https://www.boe.es/gazeta/dias/1817/04/08/pdfs/GMD-1817-42.pdf#page=7","Abrir facsímil")</f>
        <v>Abrir facsímil</v>
      </c>
      <c r="K2925" s="3" t="s">
        <v>23</v>
      </c>
    </row>
    <row r="2926" spans="1:11" ht="42" customHeight="1">
      <c r="A2926" s="2" t="s">
        <v>6993</v>
      </c>
      <c r="B2926" s="2" t="s">
        <v>6994</v>
      </c>
      <c r="C2926" s="2" t="s">
        <v>36</v>
      </c>
      <c r="D2926" s="2" t="s">
        <v>37</v>
      </c>
      <c r="E2926" s="5">
        <v>-30193</v>
      </c>
      <c r="F2926" s="3" t="s">
        <v>38</v>
      </c>
      <c r="G2926" s="3" t="s">
        <v>39</v>
      </c>
      <c r="H2926" s="2" t="s">
        <v>21</v>
      </c>
      <c r="I2926" s="2" t="s">
        <v>6996</v>
      </c>
      <c r="J2926" s="3" t="str">
        <f>HYPERLINK("https://www.boe.es/gazeta/dias/1817/05/01/pdfs/GMD-1817-52.pdf#page=5","Abrir facsímil")</f>
        <v>Abrir facsímil</v>
      </c>
      <c r="K2926" s="3" t="s">
        <v>23</v>
      </c>
    </row>
    <row r="2927" spans="1:11" ht="42" customHeight="1">
      <c r="A2927" s="2" t="s">
        <v>6997</v>
      </c>
      <c r="B2927" s="2" t="s">
        <v>6998</v>
      </c>
      <c r="C2927" s="2" t="s">
        <v>49</v>
      </c>
      <c r="D2927" s="2" t="s">
        <v>44</v>
      </c>
      <c r="E2927" s="5">
        <v>-30216</v>
      </c>
      <c r="F2927" s="3" t="s">
        <v>344</v>
      </c>
      <c r="G2927" s="3" t="s">
        <v>77</v>
      </c>
      <c r="H2927" s="2" t="s">
        <v>21</v>
      </c>
      <c r="I2927" s="2" t="s">
        <v>6999</v>
      </c>
      <c r="J2927" s="3" t="str">
        <f>HYPERLINK("https://www.boe.es/gazeta/dias/1817/04/08/pdfs/GMD-1817-42.pdf#page=8","Abrir facsímil")</f>
        <v>Abrir facsímil</v>
      </c>
      <c r="K2927" s="3" t="s">
        <v>23</v>
      </c>
    </row>
    <row r="2928" spans="1:11" ht="42" customHeight="1">
      <c r="A2928" s="2" t="s">
        <v>7000</v>
      </c>
      <c r="B2928" s="2" t="s">
        <v>7000</v>
      </c>
      <c r="C2928" s="2" t="s">
        <v>43</v>
      </c>
      <c r="D2928" s="2" t="s">
        <v>44</v>
      </c>
      <c r="E2928" s="5">
        <v>-30121</v>
      </c>
      <c r="F2928" s="3" t="s">
        <v>851</v>
      </c>
      <c r="G2928" s="3" t="s">
        <v>20</v>
      </c>
      <c r="H2928" s="2" t="s">
        <v>21</v>
      </c>
      <c r="I2928" s="2" t="s">
        <v>7001</v>
      </c>
      <c r="J2928" s="3" t="str">
        <f>HYPERLINK("https://www.boe.es/gazeta/dias/1817/07/12/pdfs/GMD-1817-83.pdf#page=7","Abrir facsímil")</f>
        <v>Abrir facsímil</v>
      </c>
      <c r="K2928" s="3" t="s">
        <v>23</v>
      </c>
    </row>
    <row r="2929" spans="1:11" ht="42" customHeight="1">
      <c r="A2929" s="2" t="s">
        <v>7000</v>
      </c>
      <c r="B2929" s="2" t="s">
        <v>7000</v>
      </c>
      <c r="C2929" s="2" t="s">
        <v>43</v>
      </c>
      <c r="D2929" s="2" t="s">
        <v>44</v>
      </c>
      <c r="E2929" s="5">
        <v>-30025</v>
      </c>
      <c r="F2929" s="3" t="s">
        <v>458</v>
      </c>
      <c r="G2929" s="3" t="s">
        <v>20</v>
      </c>
      <c r="H2929" s="2" t="s">
        <v>21</v>
      </c>
      <c r="I2929" s="2" t="s">
        <v>7002</v>
      </c>
      <c r="J2929" s="3" t="str">
        <f>HYPERLINK("https://www.boe.es/gazeta/dias/1817/10/16/pdfs/GMD-1817-124.pdf#page=7","Abrir facsímil")</f>
        <v>Abrir facsímil</v>
      </c>
      <c r="K2929" s="3" t="s">
        <v>23</v>
      </c>
    </row>
    <row r="2930" spans="1:11" ht="42" customHeight="1">
      <c r="A2930" s="2" t="s">
        <v>7003</v>
      </c>
      <c r="B2930" s="2" t="s">
        <v>7004</v>
      </c>
      <c r="C2930" s="2" t="s">
        <v>43</v>
      </c>
      <c r="D2930" s="2" t="s">
        <v>44</v>
      </c>
      <c r="E2930" s="5">
        <v>-30310</v>
      </c>
      <c r="F2930" s="3" t="s">
        <v>93</v>
      </c>
      <c r="G2930" s="3" t="s">
        <v>57</v>
      </c>
      <c r="H2930" s="2" t="s">
        <v>21</v>
      </c>
      <c r="I2930" s="2" t="s">
        <v>7005</v>
      </c>
      <c r="J2930" s="3" t="str">
        <f>HYPERLINK("https://www.boe.es/gazeta/dias/1817/01/04/pdfs/GMD-1817-2.pdf#page=6","Abrir facsímil")</f>
        <v>Abrir facsímil</v>
      </c>
      <c r="K2930" s="3" t="s">
        <v>23</v>
      </c>
    </row>
    <row r="2931" spans="1:11" ht="42" customHeight="1">
      <c r="A2931" s="2" t="s">
        <v>7006</v>
      </c>
      <c r="B2931" s="2" t="s">
        <v>7007</v>
      </c>
      <c r="C2931" s="2" t="s">
        <v>17</v>
      </c>
      <c r="D2931" s="2" t="s">
        <v>18</v>
      </c>
      <c r="E2931" s="5">
        <v>-30242</v>
      </c>
      <c r="F2931" s="3" t="s">
        <v>62</v>
      </c>
      <c r="G2931" s="3" t="s">
        <v>77</v>
      </c>
      <c r="H2931" s="2" t="s">
        <v>21</v>
      </c>
      <c r="I2931" s="2" t="s">
        <v>7008</v>
      </c>
      <c r="J2931" s="3" t="str">
        <f>HYPERLINK("https://www.boe.es/gazeta/dias/1817/03/13/pdfs/GMD-1817-31.pdf#page=8","Abrir facsímil")</f>
        <v>Abrir facsímil</v>
      </c>
      <c r="K2931" s="3" t="s">
        <v>23</v>
      </c>
    </row>
    <row r="2932" spans="1:11" ht="42" customHeight="1">
      <c r="A2932" s="2" t="s">
        <v>7009</v>
      </c>
      <c r="B2932" s="2" t="s">
        <v>7010</v>
      </c>
      <c r="C2932" s="2" t="s">
        <v>17</v>
      </c>
      <c r="D2932" s="2" t="s">
        <v>18</v>
      </c>
      <c r="E2932" s="5">
        <v>-30095</v>
      </c>
      <c r="F2932" s="3" t="s">
        <v>365</v>
      </c>
      <c r="G2932" s="3" t="s">
        <v>82</v>
      </c>
      <c r="H2932" s="2" t="s">
        <v>21</v>
      </c>
      <c r="I2932" s="2" t="s">
        <v>7011</v>
      </c>
      <c r="J2932" s="3" t="str">
        <f>HYPERLINK("https://www.boe.es/gazeta/dias/1817/08/07/pdfs/GMD-1817-94.pdf#page=12","Abrir facsímil")</f>
        <v>Abrir facsímil</v>
      </c>
      <c r="K2932" s="3" t="s">
        <v>23</v>
      </c>
    </row>
    <row r="2933" spans="1:11" ht="42" customHeight="1">
      <c r="A2933" s="2" t="s">
        <v>7009</v>
      </c>
      <c r="B2933" s="2" t="s">
        <v>7010</v>
      </c>
      <c r="C2933" s="2" t="s">
        <v>17</v>
      </c>
      <c r="D2933" s="2" t="s">
        <v>18</v>
      </c>
      <c r="E2933" s="5">
        <v>-30004</v>
      </c>
      <c r="F2933" s="3" t="s">
        <v>329</v>
      </c>
      <c r="G2933" s="3" t="s">
        <v>20</v>
      </c>
      <c r="H2933" s="2" t="s">
        <v>21</v>
      </c>
      <c r="I2933" s="2" t="s">
        <v>7012</v>
      </c>
      <c r="J2933" s="3" t="str">
        <f>HYPERLINK("https://www.boe.es/gazeta/dias/1817/11/06/pdfs/GMD-1817-133.pdf#page=7","Abrir facsímil")</f>
        <v>Abrir facsímil</v>
      </c>
      <c r="K2933" s="3" t="s">
        <v>23</v>
      </c>
    </row>
    <row r="2934" spans="1:11" ht="42" customHeight="1">
      <c r="A2934" s="2" t="s">
        <v>7009</v>
      </c>
      <c r="B2934" s="2" t="s">
        <v>7010</v>
      </c>
      <c r="C2934" s="2" t="s">
        <v>17</v>
      </c>
      <c r="D2934" s="2" t="s">
        <v>18</v>
      </c>
      <c r="E2934" s="5">
        <v>-29969</v>
      </c>
      <c r="F2934" s="3" t="s">
        <v>252</v>
      </c>
      <c r="G2934" s="3" t="s">
        <v>112</v>
      </c>
      <c r="H2934" s="2" t="s">
        <v>21</v>
      </c>
      <c r="I2934" s="2" t="s">
        <v>7013</v>
      </c>
      <c r="J2934" s="3" t="str">
        <f>HYPERLINK("https://www.boe.es/gazeta/dias/1817/12/11/pdfs/GMD-1817-148.pdf#page=11","Abrir facsímil")</f>
        <v>Abrir facsímil</v>
      </c>
      <c r="K2934" s="3" t="s">
        <v>23</v>
      </c>
    </row>
    <row r="2935" spans="1:11" ht="42" customHeight="1">
      <c r="A2935" s="2" t="s">
        <v>7009</v>
      </c>
      <c r="B2935" s="2" t="s">
        <v>7010</v>
      </c>
      <c r="C2935" s="2" t="s">
        <v>17</v>
      </c>
      <c r="D2935" s="2" t="s">
        <v>18</v>
      </c>
      <c r="E2935" s="5">
        <v>-29964</v>
      </c>
      <c r="F2935" s="3" t="s">
        <v>482</v>
      </c>
      <c r="G2935" s="3" t="s">
        <v>112</v>
      </c>
      <c r="H2935" s="2" t="s">
        <v>21</v>
      </c>
      <c r="I2935" s="2" t="s">
        <v>7014</v>
      </c>
      <c r="J2935" s="3" t="str">
        <f>HYPERLINK("https://www.boe.es/gazeta/dias/1817/12/16/pdfs/GMD-1817-150.pdf#page=11","Abrir facsímil")</f>
        <v>Abrir facsímil</v>
      </c>
      <c r="K2935" s="3" t="s">
        <v>23</v>
      </c>
    </row>
    <row r="2936" spans="1:11" ht="42" customHeight="1">
      <c r="A2936" s="2" t="s">
        <v>7009</v>
      </c>
      <c r="B2936" s="2" t="s">
        <v>7010</v>
      </c>
      <c r="C2936" s="2" t="s">
        <v>17</v>
      </c>
      <c r="D2936" s="2" t="s">
        <v>18</v>
      </c>
      <c r="E2936" s="5">
        <v>-29957</v>
      </c>
      <c r="F2936" s="3" t="s">
        <v>1001</v>
      </c>
      <c r="G2936" s="3" t="s">
        <v>3561</v>
      </c>
      <c r="H2936" s="2" t="s">
        <v>21</v>
      </c>
      <c r="I2936" s="2" t="s">
        <v>7015</v>
      </c>
      <c r="J2936" s="3" t="str">
        <f>HYPERLINK("https://www.boe.es/gazeta/dias/1817/12/23/pdfs/GMD-1817-153.pdf#page=8","Abrir facsímil")</f>
        <v>Abrir facsímil</v>
      </c>
      <c r="K2936" s="3" t="s">
        <v>23</v>
      </c>
    </row>
    <row r="2937" spans="1:11" ht="42" customHeight="1">
      <c r="A2937" s="2" t="s">
        <v>7016</v>
      </c>
      <c r="B2937" s="2" t="s">
        <v>7017</v>
      </c>
      <c r="C2937" s="2" t="s">
        <v>17</v>
      </c>
      <c r="D2937" s="2" t="s">
        <v>18</v>
      </c>
      <c r="E2937" s="5">
        <v>-30293</v>
      </c>
      <c r="F2937" s="3" t="s">
        <v>143</v>
      </c>
      <c r="G2937" s="3" t="s">
        <v>2365</v>
      </c>
      <c r="H2937" s="2" t="s">
        <v>21</v>
      </c>
      <c r="I2937" s="2" t="s">
        <v>7018</v>
      </c>
      <c r="J2937" s="3" t="str">
        <f>HYPERLINK("https://www.boe.es/gazeta/dias/1817/01/21/pdfs/GMD-1817-9.pdf#page=8","Abrir facsímil")</f>
        <v>Abrir facsímil</v>
      </c>
      <c r="K2937" s="3" t="s">
        <v>23</v>
      </c>
    </row>
    <row r="2938" spans="1:11" ht="42" customHeight="1">
      <c r="A2938" s="2" t="s">
        <v>7016</v>
      </c>
      <c r="B2938" s="2" t="s">
        <v>7017</v>
      </c>
      <c r="C2938" s="2" t="s">
        <v>17</v>
      </c>
      <c r="D2938" s="2" t="s">
        <v>18</v>
      </c>
      <c r="E2938" s="5">
        <v>-30272</v>
      </c>
      <c r="F2938" s="3" t="s">
        <v>493</v>
      </c>
      <c r="G2938" s="3" t="s">
        <v>77</v>
      </c>
      <c r="H2938" s="2" t="s">
        <v>21</v>
      </c>
      <c r="I2938" s="2" t="s">
        <v>7019</v>
      </c>
      <c r="J2938" s="3" t="str">
        <f>HYPERLINK("https://www.boe.es/gazeta/dias/1817/02/11/pdfs/GMD-1817-18.pdf#page=8","Abrir facsímil")</f>
        <v>Abrir facsímil</v>
      </c>
      <c r="K2938" s="3" t="s">
        <v>23</v>
      </c>
    </row>
    <row r="2939" spans="1:11" ht="42" customHeight="1">
      <c r="A2939" s="2" t="s">
        <v>7016</v>
      </c>
      <c r="B2939" s="2" t="s">
        <v>7017</v>
      </c>
      <c r="C2939" s="2" t="s">
        <v>17</v>
      </c>
      <c r="D2939" s="2" t="s">
        <v>18</v>
      </c>
      <c r="E2939" s="5">
        <v>-30205</v>
      </c>
      <c r="F2939" s="3" t="s">
        <v>139</v>
      </c>
      <c r="G2939" s="3" t="s">
        <v>77</v>
      </c>
      <c r="H2939" s="2" t="s">
        <v>21</v>
      </c>
      <c r="I2939" s="2" t="s">
        <v>7020</v>
      </c>
      <c r="J2939" s="3" t="str">
        <f>HYPERLINK("https://www.boe.es/gazeta/dias/1817/04/19/pdfs/GMD-1817-47.pdf#page=8","Abrir facsímil")</f>
        <v>Abrir facsímil</v>
      </c>
      <c r="K2939" s="3" t="s">
        <v>23</v>
      </c>
    </row>
    <row r="2940" spans="1:11" ht="42" customHeight="1">
      <c r="A2940" s="2" t="s">
        <v>7016</v>
      </c>
      <c r="B2940" s="2" t="s">
        <v>7017</v>
      </c>
      <c r="C2940" s="2" t="s">
        <v>17</v>
      </c>
      <c r="D2940" s="2" t="s">
        <v>18</v>
      </c>
      <c r="E2940" s="5">
        <v>-30167</v>
      </c>
      <c r="F2940" s="3" t="s">
        <v>153</v>
      </c>
      <c r="G2940" s="3" t="s">
        <v>2489</v>
      </c>
      <c r="H2940" s="2" t="s">
        <v>21</v>
      </c>
      <c r="I2940" s="2" t="s">
        <v>7021</v>
      </c>
      <c r="J2940" s="3" t="str">
        <f>HYPERLINK("https://www.boe.es/gazeta/dias/1817/05/27/pdfs/GMD-1817-63.pdf#page=8","Abrir facsímil")</f>
        <v>Abrir facsímil</v>
      </c>
      <c r="K2940" s="3" t="s">
        <v>23</v>
      </c>
    </row>
    <row r="2941" spans="1:11" ht="42" customHeight="1">
      <c r="A2941" s="2" t="s">
        <v>7016</v>
      </c>
      <c r="B2941" s="2" t="s">
        <v>7017</v>
      </c>
      <c r="C2941" s="2" t="s">
        <v>17</v>
      </c>
      <c r="D2941" s="2" t="s">
        <v>18</v>
      </c>
      <c r="E2941" s="5">
        <v>-30116</v>
      </c>
      <c r="F2941" s="3" t="s">
        <v>319</v>
      </c>
      <c r="G2941" s="3" t="s">
        <v>77</v>
      </c>
      <c r="H2941" s="2" t="s">
        <v>21</v>
      </c>
      <c r="I2941" s="2" t="s">
        <v>7022</v>
      </c>
      <c r="J2941" s="3" t="str">
        <f>HYPERLINK("https://www.boe.es/gazeta/dias/1817/07/17/pdfs/GMD-1817-85.pdf#page=8","Abrir facsímil")</f>
        <v>Abrir facsímil</v>
      </c>
      <c r="K2941" s="3" t="s">
        <v>23</v>
      </c>
    </row>
    <row r="2942" spans="1:11" ht="42" customHeight="1">
      <c r="A2942" s="2" t="s">
        <v>7016</v>
      </c>
      <c r="B2942" s="2" t="s">
        <v>7017</v>
      </c>
      <c r="C2942" s="2" t="s">
        <v>17</v>
      </c>
      <c r="D2942" s="2" t="s">
        <v>18</v>
      </c>
      <c r="E2942" s="5">
        <v>-30114</v>
      </c>
      <c r="F2942" s="3" t="s">
        <v>500</v>
      </c>
      <c r="G2942" s="3" t="s">
        <v>77</v>
      </c>
      <c r="H2942" s="2" t="s">
        <v>21</v>
      </c>
      <c r="I2942" s="2" t="s">
        <v>7023</v>
      </c>
      <c r="J2942" s="3" t="str">
        <f>HYPERLINK("https://www.boe.es/gazeta/dias/1817/07/19/pdfs/GMD-1817-86.pdf#page=8","Abrir facsímil")</f>
        <v>Abrir facsímil</v>
      </c>
      <c r="K2942" s="3" t="s">
        <v>23</v>
      </c>
    </row>
    <row r="2943" spans="1:11" ht="42" customHeight="1">
      <c r="A2943" s="2" t="s">
        <v>7016</v>
      </c>
      <c r="B2943" s="2" t="s">
        <v>7017</v>
      </c>
      <c r="C2943" s="2" t="s">
        <v>17</v>
      </c>
      <c r="D2943" s="2" t="s">
        <v>18</v>
      </c>
      <c r="E2943" s="5">
        <v>-30097</v>
      </c>
      <c r="F2943" s="3" t="s">
        <v>156</v>
      </c>
      <c r="G2943" s="3" t="s">
        <v>2493</v>
      </c>
      <c r="H2943" s="2" t="s">
        <v>21</v>
      </c>
      <c r="I2943" s="2" t="s">
        <v>7024</v>
      </c>
      <c r="J2943" s="3" t="str">
        <f>HYPERLINK("https://www.boe.es/gazeta/dias/1817/08/05/pdfs/GMD-1817-93.pdf#page=8","Abrir facsímil")</f>
        <v>Abrir facsímil</v>
      </c>
      <c r="K2943" s="3" t="s">
        <v>23</v>
      </c>
    </row>
    <row r="2944" spans="1:11" ht="42" customHeight="1">
      <c r="A2944" s="2" t="s">
        <v>7016</v>
      </c>
      <c r="B2944" s="2" t="s">
        <v>7017</v>
      </c>
      <c r="C2944" s="2" t="s">
        <v>17</v>
      </c>
      <c r="D2944" s="2" t="s">
        <v>18</v>
      </c>
      <c r="E2944" s="5">
        <v>-30079</v>
      </c>
      <c r="F2944" s="3" t="s">
        <v>45</v>
      </c>
      <c r="G2944" s="3" t="s">
        <v>77</v>
      </c>
      <c r="H2944" s="2" t="s">
        <v>21</v>
      </c>
      <c r="I2944" s="2" t="s">
        <v>7025</v>
      </c>
      <c r="J2944" s="3" t="str">
        <f>HYPERLINK("https://www.boe.es/gazeta/dias/1817/08/23/pdfs/GMD-1817-101.pdf#page=8","Abrir facsímil")</f>
        <v>Abrir facsímil</v>
      </c>
      <c r="K2944" s="3" t="s">
        <v>23</v>
      </c>
    </row>
    <row r="2945" spans="1:11" ht="42" customHeight="1">
      <c r="A2945" s="2" t="s">
        <v>7016</v>
      </c>
      <c r="B2945" s="2" t="s">
        <v>7017</v>
      </c>
      <c r="C2945" s="2" t="s">
        <v>17</v>
      </c>
      <c r="D2945" s="2" t="s">
        <v>18</v>
      </c>
      <c r="E2945" s="5">
        <v>-30069</v>
      </c>
      <c r="F2945" s="3" t="s">
        <v>817</v>
      </c>
      <c r="G2945" s="3" t="s">
        <v>818</v>
      </c>
      <c r="H2945" s="2" t="s">
        <v>21</v>
      </c>
      <c r="I2945" s="2" t="s">
        <v>7026</v>
      </c>
      <c r="J2945" s="3" t="str">
        <f>HYPERLINK("https://www.boe.es/gazeta/dias/1817/09/02/pdfs/GMD-1817-105.pdf#page=8","Abrir facsímil")</f>
        <v>Abrir facsímil</v>
      </c>
      <c r="K2945" s="3" t="s">
        <v>23</v>
      </c>
    </row>
    <row r="2946" spans="1:11" ht="42" customHeight="1">
      <c r="A2946" s="2" t="s">
        <v>7016</v>
      </c>
      <c r="B2946" s="2" t="s">
        <v>7017</v>
      </c>
      <c r="C2946" s="2" t="s">
        <v>17</v>
      </c>
      <c r="D2946" s="2" t="s">
        <v>18</v>
      </c>
      <c r="E2946" s="5">
        <v>-30062</v>
      </c>
      <c r="F2946" s="3" t="s">
        <v>444</v>
      </c>
      <c r="G2946" s="3" t="s">
        <v>112</v>
      </c>
      <c r="H2946" s="2" t="s">
        <v>21</v>
      </c>
      <c r="I2946" s="2" t="s">
        <v>7027</v>
      </c>
      <c r="J2946" s="3" t="str">
        <f>HYPERLINK("https://www.boe.es/gazeta/dias/1817/09/09/pdfs/GMD-1817-108.pdf#page=11","Abrir facsímil")</f>
        <v>Abrir facsímil</v>
      </c>
      <c r="K2946" s="3" t="s">
        <v>23</v>
      </c>
    </row>
    <row r="2947" spans="1:11" ht="42" customHeight="1">
      <c r="A2947" s="2" t="s">
        <v>7016</v>
      </c>
      <c r="B2947" s="2" t="s">
        <v>7017</v>
      </c>
      <c r="C2947" s="2" t="s">
        <v>17</v>
      </c>
      <c r="D2947" s="2" t="s">
        <v>18</v>
      </c>
      <c r="E2947" s="5">
        <v>-30053</v>
      </c>
      <c r="F2947" s="3" t="s">
        <v>129</v>
      </c>
      <c r="G2947" s="3" t="s">
        <v>82</v>
      </c>
      <c r="H2947" s="2" t="s">
        <v>21</v>
      </c>
      <c r="I2947" s="2" t="s">
        <v>7028</v>
      </c>
      <c r="J2947" s="3" t="str">
        <f>HYPERLINK("https://www.boe.es/gazeta/dias/1817/09/18/pdfs/GMD-1817-112.pdf#page=12","Abrir facsímil")</f>
        <v>Abrir facsímil</v>
      </c>
      <c r="K2947" s="3" t="s">
        <v>23</v>
      </c>
    </row>
    <row r="2948" spans="1:11" ht="42" customHeight="1">
      <c r="A2948" s="2" t="s">
        <v>7016</v>
      </c>
      <c r="B2948" s="2" t="s">
        <v>7017</v>
      </c>
      <c r="C2948" s="2" t="s">
        <v>17</v>
      </c>
      <c r="D2948" s="2" t="s">
        <v>18</v>
      </c>
      <c r="E2948" s="5">
        <v>-30018</v>
      </c>
      <c r="F2948" s="3" t="s">
        <v>757</v>
      </c>
      <c r="G2948" s="3" t="s">
        <v>77</v>
      </c>
      <c r="H2948" s="2" t="s">
        <v>21</v>
      </c>
      <c r="I2948" s="2" t="s">
        <v>7029</v>
      </c>
      <c r="J2948" s="3" t="str">
        <f>HYPERLINK("https://www.boe.es/gazeta/dias/1817/10/23/pdfs/GMD-1817-127.pdf#page=8","Abrir facsímil")</f>
        <v>Abrir facsímil</v>
      </c>
      <c r="K2948" s="3" t="s">
        <v>23</v>
      </c>
    </row>
    <row r="2949" spans="1:11" ht="42" customHeight="1">
      <c r="A2949" s="2" t="s">
        <v>7030</v>
      </c>
      <c r="B2949" s="2" t="s">
        <v>7031</v>
      </c>
      <c r="C2949" s="2" t="s">
        <v>43</v>
      </c>
      <c r="D2949" s="2" t="s">
        <v>44</v>
      </c>
      <c r="E2949" s="5">
        <v>-30226</v>
      </c>
      <c r="F2949" s="3" t="s">
        <v>416</v>
      </c>
      <c r="G2949" s="3" t="s">
        <v>77</v>
      </c>
      <c r="H2949" s="2" t="s">
        <v>27</v>
      </c>
      <c r="I2949" s="2" t="s">
        <v>7032</v>
      </c>
      <c r="J2949" s="3" t="str">
        <f>HYPERLINK("https://www.boe.es/gazeta/dias/1817/03/29/pdfs/GMD-1817-38.pdf#page=8","Abrir facsímil")</f>
        <v>Abrir facsímil</v>
      </c>
      <c r="K2949" s="3" t="s">
        <v>29</v>
      </c>
    </row>
    <row r="2950" spans="1:11" ht="42" customHeight="1">
      <c r="A2950" s="2" t="s">
        <v>7033</v>
      </c>
      <c r="B2950" s="2" t="s">
        <v>7034</v>
      </c>
      <c r="C2950" s="2" t="s">
        <v>97</v>
      </c>
      <c r="D2950" s="2" t="s">
        <v>44</v>
      </c>
      <c r="E2950" s="5">
        <v>-29976</v>
      </c>
      <c r="F2950" s="3" t="s">
        <v>81</v>
      </c>
      <c r="G2950" s="3" t="s">
        <v>82</v>
      </c>
      <c r="H2950" s="2" t="s">
        <v>21</v>
      </c>
      <c r="I2950" s="2" t="s">
        <v>7035</v>
      </c>
      <c r="J2950" s="3" t="str">
        <f>HYPERLINK("https://www.boe.es/gazeta/dias/1817/12/04/pdfs/GMD-1817-145.pdf#page=12","Abrir facsímil")</f>
        <v>Abrir facsímil</v>
      </c>
      <c r="K2950" s="3" t="s">
        <v>23</v>
      </c>
    </row>
    <row r="2951" spans="1:11" ht="42" customHeight="1">
      <c r="A2951" s="2" t="s">
        <v>7036</v>
      </c>
      <c r="B2951" s="2" t="s">
        <v>7037</v>
      </c>
      <c r="C2951" s="2" t="s">
        <v>17</v>
      </c>
      <c r="D2951" s="2" t="s">
        <v>18</v>
      </c>
      <c r="E2951" s="5">
        <v>-30004</v>
      </c>
      <c r="F2951" s="3" t="s">
        <v>329</v>
      </c>
      <c r="G2951" s="3" t="s">
        <v>77</v>
      </c>
      <c r="H2951" s="2" t="s">
        <v>21</v>
      </c>
      <c r="I2951" s="2" t="s">
        <v>7038</v>
      </c>
      <c r="J2951" s="3" t="str">
        <f>HYPERLINK("https://www.boe.es/gazeta/dias/1817/11/06/pdfs/GMD-1817-133.pdf#page=8","Abrir facsímil")</f>
        <v>Abrir facsímil</v>
      </c>
      <c r="K2951" s="3" t="s">
        <v>23</v>
      </c>
    </row>
    <row r="2952" spans="1:11" ht="42" customHeight="1">
      <c r="A2952" s="2" t="s">
        <v>7039</v>
      </c>
      <c r="B2952" s="2" t="s">
        <v>7040</v>
      </c>
      <c r="C2952" s="2" t="s">
        <v>17</v>
      </c>
      <c r="D2952" s="2" t="s">
        <v>18</v>
      </c>
      <c r="E2952" s="5">
        <v>-30048</v>
      </c>
      <c r="F2952" s="3" t="s">
        <v>573</v>
      </c>
      <c r="G2952" s="3" t="s">
        <v>20</v>
      </c>
      <c r="H2952" s="2" t="s">
        <v>27</v>
      </c>
      <c r="I2952" s="2" t="s">
        <v>7041</v>
      </c>
      <c r="J2952" s="3" t="str">
        <f>HYPERLINK("https://www.boe.es/gazeta/dias/1817/09/23/pdfs/GMD-1817-114.pdf#page=7","Abrir facsímil")</f>
        <v>Abrir facsímil</v>
      </c>
      <c r="K2952" s="3" t="s">
        <v>29</v>
      </c>
    </row>
    <row r="2953" spans="1:11" ht="42" customHeight="1">
      <c r="A2953" s="2" t="s">
        <v>7042</v>
      </c>
      <c r="B2953" s="2" t="s">
        <v>7043</v>
      </c>
      <c r="C2953" s="2" t="s">
        <v>36</v>
      </c>
      <c r="D2953" s="2" t="s">
        <v>37</v>
      </c>
      <c r="E2953" s="5">
        <v>-30251</v>
      </c>
      <c r="F2953" s="3" t="s">
        <v>2096</v>
      </c>
      <c r="G2953" s="3" t="s">
        <v>2167</v>
      </c>
      <c r="H2953" s="2" t="s">
        <v>21</v>
      </c>
      <c r="I2953" s="2" t="s">
        <v>7044</v>
      </c>
      <c r="J2953" s="3" t="str">
        <f>HYPERLINK("https://www.boe.es/gazeta/dias/1817/03/04/pdfs/GMD-1817-27.pdf#page=4","Abrir facsímil")</f>
        <v>Abrir facsímil</v>
      </c>
      <c r="K2953" s="3" t="s">
        <v>23</v>
      </c>
    </row>
    <row r="2954" spans="1:11" ht="42" customHeight="1">
      <c r="A2954" s="2" t="s">
        <v>7045</v>
      </c>
      <c r="B2954" s="2" t="s">
        <v>7046</v>
      </c>
      <c r="C2954" s="2" t="s">
        <v>49</v>
      </c>
      <c r="D2954" s="2" t="s">
        <v>44</v>
      </c>
      <c r="E2954" s="5">
        <v>-30039</v>
      </c>
      <c r="F2954" s="3" t="s">
        <v>558</v>
      </c>
      <c r="G2954" s="3" t="s">
        <v>77</v>
      </c>
      <c r="H2954" s="2" t="s">
        <v>21</v>
      </c>
      <c r="I2954" s="2" t="s">
        <v>7047</v>
      </c>
      <c r="J2954" s="3" t="str">
        <f>HYPERLINK("https://www.boe.es/gazeta/dias/1817/10/02/pdfs/GMD-1817-118.pdf#page=8","Abrir facsímil")</f>
        <v>Abrir facsímil</v>
      </c>
      <c r="K2954" s="3" t="s">
        <v>23</v>
      </c>
    </row>
    <row r="2955" spans="1:11" ht="42" customHeight="1">
      <c r="A2955" s="2" t="s">
        <v>7045</v>
      </c>
      <c r="B2955" s="2" t="s">
        <v>7046</v>
      </c>
      <c r="C2955" s="2" t="s">
        <v>49</v>
      </c>
      <c r="D2955" s="2" t="s">
        <v>44</v>
      </c>
      <c r="E2955" s="5">
        <v>-30006</v>
      </c>
      <c r="F2955" s="3" t="s">
        <v>210</v>
      </c>
      <c r="G2955" s="3" t="s">
        <v>77</v>
      </c>
      <c r="H2955" s="2" t="s">
        <v>21</v>
      </c>
      <c r="I2955" s="2" t="s">
        <v>7048</v>
      </c>
      <c r="J2955" s="3" t="str">
        <f>HYPERLINK("https://www.boe.es/gazeta/dias/1817/11/04/pdfs/GMD-1817-132.pdf#page=8","Abrir facsímil")</f>
        <v>Abrir facsímil</v>
      </c>
      <c r="K2955" s="3" t="s">
        <v>23</v>
      </c>
    </row>
    <row r="2956" spans="1:11" ht="42" customHeight="1">
      <c r="A2956" s="2" t="s">
        <v>7049</v>
      </c>
      <c r="B2956" s="2" t="s">
        <v>7050</v>
      </c>
      <c r="C2956" s="2" t="s">
        <v>43</v>
      </c>
      <c r="D2956" s="2" t="s">
        <v>44</v>
      </c>
      <c r="E2956" s="5">
        <v>-30289</v>
      </c>
      <c r="F2956" s="3" t="s">
        <v>193</v>
      </c>
      <c r="G2956" s="3" t="s">
        <v>77</v>
      </c>
      <c r="H2956" s="2" t="s">
        <v>27</v>
      </c>
      <c r="I2956" s="2" t="s">
        <v>7051</v>
      </c>
      <c r="J2956" s="3" t="str">
        <f>HYPERLINK("https://www.boe.es/gazeta/dias/1817/01/25/pdfs/GMD-1817-11.pdf#page=8","Abrir facsímil")</f>
        <v>Abrir facsímil</v>
      </c>
      <c r="K2956" s="3" t="s">
        <v>29</v>
      </c>
    </row>
    <row r="2957" spans="1:11" ht="42" customHeight="1">
      <c r="A2957" s="2" t="s">
        <v>7052</v>
      </c>
      <c r="B2957" s="2" t="s">
        <v>7053</v>
      </c>
      <c r="C2957" s="2" t="s">
        <v>510</v>
      </c>
      <c r="D2957" s="2" t="s">
        <v>44</v>
      </c>
      <c r="E2957" s="5">
        <v>-30312</v>
      </c>
      <c r="F2957" s="3" t="s">
        <v>86</v>
      </c>
      <c r="G2957" s="3" t="s">
        <v>87</v>
      </c>
      <c r="H2957" s="2" t="s">
        <v>21</v>
      </c>
      <c r="I2957" s="2" t="s">
        <v>7054</v>
      </c>
      <c r="J2957" s="3" t="str">
        <f>HYPERLINK("https://www.boe.es/gazeta/dias/1817/01/02/pdfs/GMD-1817-1.pdf#page=4","Abrir facsímil")</f>
        <v>Abrir facsímil</v>
      </c>
      <c r="K2957" s="3" t="s">
        <v>23</v>
      </c>
    </row>
    <row r="2958" spans="1:11" ht="42" customHeight="1">
      <c r="A2958" s="2" t="s">
        <v>7055</v>
      </c>
      <c r="B2958" s="2" t="s">
        <v>7056</v>
      </c>
      <c r="C2958" s="2" t="s">
        <v>36</v>
      </c>
      <c r="D2958" s="2" t="s">
        <v>37</v>
      </c>
      <c r="E2958" s="5">
        <v>-30025</v>
      </c>
      <c r="F2958" s="3" t="s">
        <v>458</v>
      </c>
      <c r="G2958" s="3" t="s">
        <v>144</v>
      </c>
      <c r="H2958" s="2" t="s">
        <v>21</v>
      </c>
      <c r="I2958" s="2" t="s">
        <v>7057</v>
      </c>
      <c r="J2958" s="3" t="str">
        <f>HYPERLINK("https://www.boe.es/gazeta/dias/1817/10/16/pdfs/GMD-1817-124.pdf#page=4","Abrir facsímil")</f>
        <v>Abrir facsímil</v>
      </c>
      <c r="K2958" s="3" t="s">
        <v>23</v>
      </c>
    </row>
    <row r="2959" spans="1:11" ht="42" customHeight="1">
      <c r="A2959" s="2" t="s">
        <v>7058</v>
      </c>
      <c r="B2959" s="2" t="s">
        <v>7059</v>
      </c>
      <c r="C2959" s="2" t="s">
        <v>36</v>
      </c>
      <c r="D2959" s="2" t="s">
        <v>37</v>
      </c>
      <c r="E2959" s="5">
        <v>-30060</v>
      </c>
      <c r="F2959" s="3" t="s">
        <v>446</v>
      </c>
      <c r="G2959" s="3" t="s">
        <v>20</v>
      </c>
      <c r="H2959" s="2" t="s">
        <v>21</v>
      </c>
      <c r="I2959" s="2" t="s">
        <v>7060</v>
      </c>
      <c r="J2959" s="3" t="str">
        <f>HYPERLINK("https://www.boe.es/gazeta/dias/1817/09/11/pdfs/GMD-1817-109.pdf#page=7","Abrir facsímil")</f>
        <v>Abrir facsímil</v>
      </c>
      <c r="K2959" s="3" t="s">
        <v>23</v>
      </c>
    </row>
    <row r="2960" spans="1:11" ht="42" customHeight="1">
      <c r="A2960" s="2" t="s">
        <v>7061</v>
      </c>
      <c r="B2960" s="2" t="s">
        <v>7062</v>
      </c>
      <c r="C2960" s="2" t="s">
        <v>43</v>
      </c>
      <c r="D2960" s="2" t="s">
        <v>44</v>
      </c>
      <c r="E2960" s="5">
        <v>-30013</v>
      </c>
      <c r="F2960" s="3" t="s">
        <v>464</v>
      </c>
      <c r="G2960" s="3" t="s">
        <v>39</v>
      </c>
      <c r="H2960" s="2" t="s">
        <v>21</v>
      </c>
      <c r="I2960" s="2" t="s">
        <v>7063</v>
      </c>
      <c r="J2960" s="3" t="str">
        <f>HYPERLINK("https://www.boe.es/gazeta/dias/1817/10/28/pdfs/GMD-1817-129.pdf#page=5","Abrir facsímil")</f>
        <v>Abrir facsímil</v>
      </c>
      <c r="K2960" s="3" t="s">
        <v>23</v>
      </c>
    </row>
    <row r="2961" spans="1:11" ht="42" customHeight="1">
      <c r="A2961" s="2" t="s">
        <v>7064</v>
      </c>
      <c r="B2961" s="2" t="s">
        <v>7065</v>
      </c>
      <c r="C2961" s="2" t="s">
        <v>36</v>
      </c>
      <c r="D2961" s="2" t="s">
        <v>37</v>
      </c>
      <c r="E2961" s="5">
        <v>-29995</v>
      </c>
      <c r="F2961" s="3" t="s">
        <v>514</v>
      </c>
      <c r="G2961" s="3" t="s">
        <v>1082</v>
      </c>
      <c r="H2961" s="2" t="s">
        <v>21</v>
      </c>
      <c r="I2961" s="2" t="s">
        <v>7066</v>
      </c>
      <c r="J2961" s="3" t="str">
        <f>HYPERLINK("https://www.boe.es/gazeta/dias/1817/11/15/pdfs/GMD-1817-137.pdf#page=5","Abrir facsímil")</f>
        <v>Abrir facsímil</v>
      </c>
      <c r="K2961" s="3" t="s">
        <v>23</v>
      </c>
    </row>
    <row r="2962" spans="1:11" ht="42" customHeight="1">
      <c r="A2962" s="2" t="s">
        <v>7067</v>
      </c>
      <c r="B2962" s="2" t="s">
        <v>7068</v>
      </c>
      <c r="C2962" s="2" t="s">
        <v>36</v>
      </c>
      <c r="D2962" s="2" t="s">
        <v>37</v>
      </c>
      <c r="E2962" s="5">
        <v>-29997</v>
      </c>
      <c r="F2962" s="3" t="s">
        <v>652</v>
      </c>
      <c r="G2962" s="3" t="s">
        <v>1541</v>
      </c>
      <c r="H2962" s="2" t="s">
        <v>21</v>
      </c>
      <c r="I2962" s="2" t="s">
        <v>7069</v>
      </c>
      <c r="J2962" s="3" t="str">
        <f>HYPERLINK("https://www.boe.es/gazeta/dias/1817/11/13/pdfs/GMD-1817-136.pdf#page=9","Abrir facsímil")</f>
        <v>Abrir facsímil</v>
      </c>
      <c r="K2962" s="3" t="s">
        <v>23</v>
      </c>
    </row>
    <row r="2963" spans="1:11" ht="42" customHeight="1">
      <c r="A2963" s="2" t="s">
        <v>7070</v>
      </c>
      <c r="B2963" s="2" t="s">
        <v>7071</v>
      </c>
      <c r="C2963" s="2" t="s">
        <v>43</v>
      </c>
      <c r="D2963" s="2" t="s">
        <v>44</v>
      </c>
      <c r="E2963" s="5">
        <v>-30055</v>
      </c>
      <c r="F2963" s="3" t="s">
        <v>71</v>
      </c>
      <c r="G2963" s="3" t="s">
        <v>314</v>
      </c>
      <c r="H2963" s="2" t="s">
        <v>21</v>
      </c>
      <c r="I2963" s="2" t="s">
        <v>7072</v>
      </c>
      <c r="J2963" s="3" t="str">
        <f>HYPERLINK("https://www.boe.es/gazeta/dias/1817/09/16/pdfs/GMD-1817-111.pdf#page=10","Abrir facsímil")</f>
        <v>Abrir facsímil</v>
      </c>
      <c r="K2963" s="3" t="s">
        <v>23</v>
      </c>
    </row>
    <row r="2964" spans="1:11" ht="42" customHeight="1">
      <c r="A2964" s="2" t="s">
        <v>7073</v>
      </c>
      <c r="B2964" s="2" t="s">
        <v>7074</v>
      </c>
      <c r="C2964" s="2" t="s">
        <v>43</v>
      </c>
      <c r="D2964" s="2" t="s">
        <v>44</v>
      </c>
      <c r="E2964" s="5">
        <v>-30261</v>
      </c>
      <c r="F2964" s="3" t="s">
        <v>226</v>
      </c>
      <c r="G2964" s="3" t="s">
        <v>20</v>
      </c>
      <c r="H2964" s="2" t="s">
        <v>21</v>
      </c>
      <c r="I2964" s="2" t="s">
        <v>7075</v>
      </c>
      <c r="J2964" s="3" t="str">
        <f>HYPERLINK("https://www.boe.es/gazeta/dias/1817/02/22/pdfs/GMD-1817-23.pdf#page=7","Abrir facsímil")</f>
        <v>Abrir facsímil</v>
      </c>
      <c r="K2964" s="3" t="s">
        <v>23</v>
      </c>
    </row>
    <row r="2965" spans="1:11" ht="42" customHeight="1">
      <c r="A2965" s="2" t="s">
        <v>7076</v>
      </c>
      <c r="B2965" s="2" t="s">
        <v>7077</v>
      </c>
      <c r="C2965" s="2" t="s">
        <v>17</v>
      </c>
      <c r="D2965" s="2" t="s">
        <v>18</v>
      </c>
      <c r="E2965" s="5">
        <v>-30228</v>
      </c>
      <c r="F2965" s="3" t="s">
        <v>383</v>
      </c>
      <c r="G2965" s="3" t="s">
        <v>7078</v>
      </c>
      <c r="H2965" s="2" t="s">
        <v>27</v>
      </c>
      <c r="I2965" s="2" t="s">
        <v>7079</v>
      </c>
      <c r="J2965" s="3" t="str">
        <f>HYPERLINK("https://www.boe.es/gazeta/dias/1817/03/27/pdfs/GMD-1817-37.pdf#page=7","Abrir facsímil")</f>
        <v>Abrir facsímil</v>
      </c>
      <c r="K2965" s="3" t="s">
        <v>29</v>
      </c>
    </row>
    <row r="2966" spans="1:11" ht="42" customHeight="1">
      <c r="A2966" s="2" t="s">
        <v>7080</v>
      </c>
      <c r="B2966" s="2" t="s">
        <v>7080</v>
      </c>
      <c r="C2966" s="2" t="s">
        <v>17</v>
      </c>
      <c r="D2966" s="2" t="s">
        <v>18</v>
      </c>
      <c r="E2966" s="5">
        <v>-30284</v>
      </c>
      <c r="F2966" s="3" t="s">
        <v>741</v>
      </c>
      <c r="G2966" s="3" t="s">
        <v>4681</v>
      </c>
      <c r="H2966" s="2" t="s">
        <v>21</v>
      </c>
      <c r="I2966" s="2" t="s">
        <v>7081</v>
      </c>
      <c r="J2966" s="3" t="str">
        <f>HYPERLINK("https://www.boe.es/gazeta/dias/1817/01/30/pdfs/GMD-1817-13.pdf#page=5","Abrir facsímil")</f>
        <v>Abrir facsímil</v>
      </c>
      <c r="K2966" s="3" t="s">
        <v>23</v>
      </c>
    </row>
    <row r="2967" spans="1:11" ht="42" customHeight="1">
      <c r="A2967" s="2" t="s">
        <v>7080</v>
      </c>
      <c r="B2967" s="2" t="s">
        <v>7080</v>
      </c>
      <c r="C2967" s="2" t="s">
        <v>36</v>
      </c>
      <c r="D2967" s="2" t="s">
        <v>37</v>
      </c>
      <c r="E2967" s="5">
        <v>-30223</v>
      </c>
      <c r="F2967" s="3" t="s">
        <v>627</v>
      </c>
      <c r="G2967" s="3" t="s">
        <v>57</v>
      </c>
      <c r="H2967" s="2" t="s">
        <v>21</v>
      </c>
      <c r="I2967" s="2" t="s">
        <v>7082</v>
      </c>
      <c r="J2967" s="3" t="str">
        <f>HYPERLINK("https://www.boe.es/gazeta/dias/1817/04/01/pdfs/GMD-1817-39.pdf#page=6","Abrir facsímil")</f>
        <v>Abrir facsímil</v>
      </c>
      <c r="K2967" s="3" t="s">
        <v>23</v>
      </c>
    </row>
    <row r="2968" spans="1:11" ht="42" customHeight="1">
      <c r="A2968" s="2" t="s">
        <v>7083</v>
      </c>
      <c r="B2968" s="2" t="s">
        <v>7084</v>
      </c>
      <c r="C2968" s="2" t="s">
        <v>36</v>
      </c>
      <c r="D2968" s="2" t="s">
        <v>37</v>
      </c>
      <c r="E2968" s="5">
        <v>-30272</v>
      </c>
      <c r="F2968" s="3" t="s">
        <v>493</v>
      </c>
      <c r="G2968" s="3" t="s">
        <v>39</v>
      </c>
      <c r="H2968" s="2" t="s">
        <v>21</v>
      </c>
      <c r="I2968" s="2" t="s">
        <v>7085</v>
      </c>
      <c r="J2968" s="3" t="str">
        <f>HYPERLINK("https://www.boe.es/gazeta/dias/1817/02/11/pdfs/GMD-1817-18.pdf#page=5","Abrir facsímil")</f>
        <v>Abrir facsímil</v>
      </c>
      <c r="K2968" s="3" t="s">
        <v>23</v>
      </c>
    </row>
    <row r="2969" spans="1:11" ht="42" customHeight="1">
      <c r="A2969" s="2" t="s">
        <v>7086</v>
      </c>
      <c r="B2969" s="2" t="s">
        <v>7087</v>
      </c>
      <c r="C2969" s="2" t="s">
        <v>17</v>
      </c>
      <c r="D2969" s="2" t="s">
        <v>18</v>
      </c>
      <c r="E2969" s="5">
        <v>-29992</v>
      </c>
      <c r="F2969" s="3" t="s">
        <v>50</v>
      </c>
      <c r="G2969" s="3" t="s">
        <v>1781</v>
      </c>
      <c r="H2969" s="2" t="s">
        <v>27</v>
      </c>
      <c r="I2969" s="2" t="s">
        <v>7088</v>
      </c>
      <c r="J2969" s="3" t="str">
        <f>HYPERLINK("https://www.boe.es/gazeta/dias/1817/11/18/pdfs/GMD-1817-138.pdf#page=6","Abrir facsímil")</f>
        <v>Abrir facsímil</v>
      </c>
      <c r="K2969" s="3" t="s">
        <v>29</v>
      </c>
    </row>
    <row r="2970" spans="1:11" ht="42" customHeight="1">
      <c r="A2970" s="2" t="s">
        <v>7089</v>
      </c>
      <c r="B2970" s="2" t="s">
        <v>7089</v>
      </c>
      <c r="C2970" s="2" t="s">
        <v>36</v>
      </c>
      <c r="D2970" s="2" t="s">
        <v>37</v>
      </c>
      <c r="E2970" s="5">
        <v>-30023</v>
      </c>
      <c r="F2970" s="3" t="s">
        <v>460</v>
      </c>
      <c r="G2970" s="3" t="s">
        <v>461</v>
      </c>
      <c r="H2970" s="2" t="s">
        <v>21</v>
      </c>
      <c r="I2970" s="2" t="s">
        <v>7090</v>
      </c>
      <c r="J2970" s="3" t="str">
        <f>HYPERLINK("https://www.boe.es/gazeta/dias/1817/10/18/pdfs/GMD-1817-125.pdf#page=8","Abrir facsímil")</f>
        <v>Abrir facsímil</v>
      </c>
      <c r="K2970" s="3" t="s">
        <v>23</v>
      </c>
    </row>
    <row r="2971" spans="1:11" ht="42" customHeight="1">
      <c r="A2971" s="2" t="s">
        <v>7091</v>
      </c>
      <c r="B2971" s="2" t="s">
        <v>7092</v>
      </c>
      <c r="C2971" s="2" t="s">
        <v>17</v>
      </c>
      <c r="D2971" s="2" t="s">
        <v>18</v>
      </c>
      <c r="E2971" s="5">
        <v>-30181</v>
      </c>
      <c r="F2971" s="3" t="s">
        <v>3337</v>
      </c>
      <c r="G2971" s="3" t="s">
        <v>20</v>
      </c>
      <c r="H2971" s="2" t="s">
        <v>21</v>
      </c>
      <c r="I2971" s="2" t="s">
        <v>7093</v>
      </c>
      <c r="J2971" s="3" t="str">
        <f>HYPERLINK("https://www.boe.es/gazeta/dias/1817/05/13/pdfs/GMD-1817-57.pdf#page=7","Abrir facsímil")</f>
        <v>Abrir facsímil</v>
      </c>
      <c r="K2971" s="3" t="s">
        <v>23</v>
      </c>
    </row>
    <row r="2972" spans="1:11" ht="42" customHeight="1">
      <c r="A2972" s="2" t="s">
        <v>7091</v>
      </c>
      <c r="B2972" s="2" t="s">
        <v>7092</v>
      </c>
      <c r="C2972" s="2" t="s">
        <v>138</v>
      </c>
      <c r="D2972" s="2" t="s">
        <v>44</v>
      </c>
      <c r="E2972" s="5">
        <v>-30163</v>
      </c>
      <c r="F2972" s="3" t="s">
        <v>166</v>
      </c>
      <c r="G2972" s="3" t="s">
        <v>2525</v>
      </c>
      <c r="H2972" s="2" t="s">
        <v>21</v>
      </c>
      <c r="I2972" s="2" t="s">
        <v>7094</v>
      </c>
      <c r="J2972" s="3" t="str">
        <f>HYPERLINK("https://www.boe.es/gazeta/dias/1817/05/31/pdfs/GMD-1817-65.pdf#page=8","Abrir facsímil")</f>
        <v>Abrir facsímil</v>
      </c>
      <c r="K2972" s="3" t="s">
        <v>23</v>
      </c>
    </row>
    <row r="2973" spans="1:11" ht="42" customHeight="1">
      <c r="A2973" s="2" t="s">
        <v>7091</v>
      </c>
      <c r="B2973" s="2" t="s">
        <v>7092</v>
      </c>
      <c r="C2973" s="2" t="s">
        <v>43</v>
      </c>
      <c r="D2973" s="2" t="s">
        <v>44</v>
      </c>
      <c r="E2973" s="5">
        <v>-29990</v>
      </c>
      <c r="F2973" s="3" t="s">
        <v>542</v>
      </c>
      <c r="G2973" s="3" t="s">
        <v>20</v>
      </c>
      <c r="H2973" s="2" t="s">
        <v>21</v>
      </c>
      <c r="I2973" s="2" t="s">
        <v>7095</v>
      </c>
      <c r="J2973" s="3" t="str">
        <f>HYPERLINK("https://www.boe.es/gazeta/dias/1817/11/20/pdfs/GMD-1817-139.pdf#page=7","Abrir facsímil")</f>
        <v>Abrir facsímil</v>
      </c>
      <c r="K2973" s="3" t="s">
        <v>23</v>
      </c>
    </row>
    <row r="2974" spans="1:11" ht="42" customHeight="1">
      <c r="A2974" s="2" t="s">
        <v>7096</v>
      </c>
      <c r="B2974" s="2" t="s">
        <v>7097</v>
      </c>
      <c r="C2974" s="2" t="s">
        <v>43</v>
      </c>
      <c r="D2974" s="2" t="s">
        <v>44</v>
      </c>
      <c r="E2974" s="5">
        <v>-30160</v>
      </c>
      <c r="F2974" s="3" t="s">
        <v>116</v>
      </c>
      <c r="G2974" s="3" t="s">
        <v>567</v>
      </c>
      <c r="H2974" s="2" t="s">
        <v>21</v>
      </c>
      <c r="I2974" s="2" t="s">
        <v>7098</v>
      </c>
      <c r="J2974" s="3" t="str">
        <f>HYPERLINK("https://www.boe.es/gazeta/dias/1817/06/03/pdfs/GMD-1817-66.pdf#page=6","Abrir facsímil")</f>
        <v>Abrir facsímil</v>
      </c>
      <c r="K2974" s="3" t="s">
        <v>23</v>
      </c>
    </row>
    <row r="2975" spans="1:11" ht="42" customHeight="1">
      <c r="A2975" s="2" t="s">
        <v>7099</v>
      </c>
      <c r="B2975" s="2" t="s">
        <v>7100</v>
      </c>
      <c r="C2975" s="2" t="s">
        <v>36</v>
      </c>
      <c r="D2975" s="2" t="s">
        <v>37</v>
      </c>
      <c r="E2975" s="5">
        <v>-30268</v>
      </c>
      <c r="F2975" s="3" t="s">
        <v>1160</v>
      </c>
      <c r="G2975" s="3" t="s">
        <v>57</v>
      </c>
      <c r="H2975" s="2" t="s">
        <v>21</v>
      </c>
      <c r="I2975" s="2" t="s">
        <v>7101</v>
      </c>
      <c r="J2975" s="3" t="str">
        <f>HYPERLINK("https://www.boe.es/gazeta/dias/1817/02/15/pdfs/GMD-1817-20.pdf#page=6","Abrir facsímil")</f>
        <v>Abrir facsímil</v>
      </c>
      <c r="K2975" s="3" t="s">
        <v>23</v>
      </c>
    </row>
    <row r="2976" spans="1:11" ht="42" customHeight="1">
      <c r="A2976" s="2" t="s">
        <v>7102</v>
      </c>
      <c r="B2976" s="2" t="s">
        <v>7102</v>
      </c>
      <c r="C2976" s="2" t="s">
        <v>36</v>
      </c>
      <c r="D2976" s="2" t="s">
        <v>37</v>
      </c>
      <c r="E2976" s="5">
        <v>-29964</v>
      </c>
      <c r="F2976" s="3" t="s">
        <v>482</v>
      </c>
      <c r="G2976" s="3" t="s">
        <v>144</v>
      </c>
      <c r="H2976" s="2" t="s">
        <v>21</v>
      </c>
      <c r="I2976" s="2" t="s">
        <v>7103</v>
      </c>
      <c r="J2976" s="3" t="str">
        <f>HYPERLINK("https://www.boe.es/gazeta/dias/1817/12/16/pdfs/GMD-1817-150.pdf#page=4","Abrir facsímil")</f>
        <v>Abrir facsímil</v>
      </c>
      <c r="K2976" s="3" t="s">
        <v>23</v>
      </c>
    </row>
    <row r="2977" spans="1:11" ht="42" customHeight="1">
      <c r="A2977" s="2" t="s">
        <v>7104</v>
      </c>
      <c r="B2977" s="2" t="s">
        <v>7104</v>
      </c>
      <c r="C2977" s="2" t="s">
        <v>36</v>
      </c>
      <c r="D2977" s="2" t="s">
        <v>37</v>
      </c>
      <c r="E2977" s="5">
        <v>-30291</v>
      </c>
      <c r="F2977" s="3" t="s">
        <v>1041</v>
      </c>
      <c r="G2977" s="3" t="s">
        <v>551</v>
      </c>
      <c r="H2977" s="2" t="s">
        <v>21</v>
      </c>
      <c r="I2977" s="2" t="s">
        <v>7105</v>
      </c>
      <c r="J2977" s="3" t="str">
        <f>HYPERLINK("https://www.boe.es/gazeta/dias/1817/01/23/pdfs/GMD-1817-10.pdf#page=3","Abrir facsímil")</f>
        <v>Abrir facsímil</v>
      </c>
      <c r="K2977" s="3" t="s">
        <v>23</v>
      </c>
    </row>
    <row r="2978" spans="1:11" ht="42" customHeight="1">
      <c r="A2978" s="2" t="s">
        <v>7106</v>
      </c>
      <c r="B2978" s="2" t="s">
        <v>7107</v>
      </c>
      <c r="C2978" s="2" t="s">
        <v>55</v>
      </c>
      <c r="D2978" s="2" t="s">
        <v>44</v>
      </c>
      <c r="E2978" s="5">
        <v>-30039</v>
      </c>
      <c r="F2978" s="3" t="s">
        <v>558</v>
      </c>
      <c r="G2978" s="3" t="s">
        <v>77</v>
      </c>
      <c r="H2978" s="2" t="s">
        <v>21</v>
      </c>
      <c r="I2978" s="2" t="s">
        <v>7108</v>
      </c>
      <c r="J2978" s="3" t="str">
        <f>HYPERLINK("https://www.boe.es/gazeta/dias/1817/10/02/pdfs/GMD-1817-118.pdf#page=8","Abrir facsímil")</f>
        <v>Abrir facsímil</v>
      </c>
      <c r="K2978" s="3" t="s">
        <v>23</v>
      </c>
    </row>
    <row r="2979" spans="1:11" ht="42" customHeight="1">
      <c r="A2979" s="2" t="s">
        <v>7109</v>
      </c>
      <c r="B2979" s="2" t="s">
        <v>7110</v>
      </c>
      <c r="C2979" s="2" t="s">
        <v>43</v>
      </c>
      <c r="D2979" s="2" t="s">
        <v>44</v>
      </c>
      <c r="E2979" s="5">
        <v>-29988</v>
      </c>
      <c r="F2979" s="3" t="s">
        <v>569</v>
      </c>
      <c r="G2979" s="3" t="s">
        <v>57</v>
      </c>
      <c r="H2979" s="2" t="s">
        <v>21</v>
      </c>
      <c r="I2979" s="2" t="s">
        <v>7111</v>
      </c>
      <c r="J2979" s="3" t="str">
        <f>HYPERLINK("https://www.boe.es/gazeta/dias/1817/11/22/pdfs/GMD-1817-140.pdf#page=6","Abrir facsímil")</f>
        <v>Abrir facsímil</v>
      </c>
      <c r="K2979" s="3" t="s">
        <v>23</v>
      </c>
    </row>
    <row r="2980" spans="1:11" ht="42" customHeight="1">
      <c r="A2980" s="2" t="s">
        <v>7112</v>
      </c>
      <c r="B2980" s="2" t="s">
        <v>7113</v>
      </c>
      <c r="C2980" s="2" t="s">
        <v>36</v>
      </c>
      <c r="D2980" s="2" t="s">
        <v>37</v>
      </c>
      <c r="E2980" s="5">
        <v>-30261</v>
      </c>
      <c r="F2980" s="3" t="s">
        <v>226</v>
      </c>
      <c r="G2980" s="3" t="s">
        <v>57</v>
      </c>
      <c r="H2980" s="2" t="s">
        <v>21</v>
      </c>
      <c r="I2980" s="2" t="s">
        <v>7114</v>
      </c>
      <c r="J2980" s="3" t="str">
        <f>HYPERLINK("https://www.boe.es/gazeta/dias/1817/02/22/pdfs/GMD-1817-23.pdf#page=6","Abrir facsímil")</f>
        <v>Abrir facsímil</v>
      </c>
      <c r="K2980" s="3" t="s">
        <v>23</v>
      </c>
    </row>
    <row r="2981" spans="1:11" ht="42" customHeight="1">
      <c r="A2981" s="2" t="s">
        <v>7115</v>
      </c>
      <c r="B2981" s="2" t="s">
        <v>7116</v>
      </c>
      <c r="C2981" s="2" t="s">
        <v>36</v>
      </c>
      <c r="D2981" s="2" t="s">
        <v>37</v>
      </c>
      <c r="E2981" s="5">
        <v>-30221</v>
      </c>
      <c r="F2981" s="3" t="s">
        <v>256</v>
      </c>
      <c r="G2981" s="3" t="s">
        <v>20</v>
      </c>
      <c r="H2981" s="2" t="s">
        <v>21</v>
      </c>
      <c r="I2981" s="2" t="s">
        <v>7117</v>
      </c>
      <c r="J2981" s="3" t="str">
        <f>HYPERLINK("https://www.boe.es/gazeta/dias/1817/04/03/pdfs/GMD-1817-40.pdf#page=7","Abrir facsímil")</f>
        <v>Abrir facsímil</v>
      </c>
      <c r="K2981" s="3" t="s">
        <v>23</v>
      </c>
    </row>
    <row r="2982" spans="1:11" ht="42" customHeight="1">
      <c r="A2982" s="2" t="s">
        <v>7118</v>
      </c>
      <c r="B2982" s="2" t="s">
        <v>7119</v>
      </c>
      <c r="C2982" s="2" t="s">
        <v>55</v>
      </c>
      <c r="D2982" s="2" t="s">
        <v>44</v>
      </c>
      <c r="E2982" s="5">
        <v>-30004</v>
      </c>
      <c r="F2982" s="3" t="s">
        <v>329</v>
      </c>
      <c r="G2982" s="3" t="s">
        <v>77</v>
      </c>
      <c r="H2982" s="2" t="s">
        <v>21</v>
      </c>
      <c r="I2982" s="2" t="s">
        <v>7120</v>
      </c>
      <c r="J2982" s="3" t="str">
        <f>HYPERLINK("https://www.boe.es/gazeta/dias/1817/11/06/pdfs/GMD-1817-133.pdf#page=8","Abrir facsímil")</f>
        <v>Abrir facsímil</v>
      </c>
      <c r="K2982" s="3" t="s">
        <v>23</v>
      </c>
    </row>
    <row r="2983" spans="1:11" ht="42" customHeight="1">
      <c r="A2983" s="2" t="s">
        <v>7121</v>
      </c>
      <c r="B2983" s="2" t="s">
        <v>7121</v>
      </c>
      <c r="C2983" s="2" t="s">
        <v>17</v>
      </c>
      <c r="D2983" s="2" t="s">
        <v>18</v>
      </c>
      <c r="E2983" s="5">
        <v>-30055</v>
      </c>
      <c r="F2983" s="3" t="s">
        <v>71</v>
      </c>
      <c r="G2983" s="3" t="s">
        <v>144</v>
      </c>
      <c r="H2983" s="2" t="s">
        <v>21</v>
      </c>
      <c r="I2983" s="2" t="s">
        <v>7122</v>
      </c>
      <c r="J2983" s="3" t="str">
        <f>HYPERLINK("https://www.boe.es/gazeta/dias/1817/09/16/pdfs/GMD-1817-111.pdf#page=4","Abrir facsímil")</f>
        <v>Abrir facsímil</v>
      </c>
      <c r="K2983" s="3" t="s">
        <v>23</v>
      </c>
    </row>
    <row r="2984" spans="1:11" ht="42" customHeight="1">
      <c r="A2984" s="2" t="s">
        <v>7123</v>
      </c>
      <c r="B2984" s="2" t="s">
        <v>7124</v>
      </c>
      <c r="C2984" s="2" t="s">
        <v>97</v>
      </c>
      <c r="D2984" s="2" t="s">
        <v>44</v>
      </c>
      <c r="E2984" s="5">
        <v>-30046</v>
      </c>
      <c r="F2984" s="3" t="s">
        <v>214</v>
      </c>
      <c r="G2984" s="3" t="s">
        <v>112</v>
      </c>
      <c r="H2984" s="2" t="s">
        <v>21</v>
      </c>
      <c r="I2984" s="2" t="s">
        <v>7125</v>
      </c>
      <c r="J2984" s="3" t="str">
        <f>HYPERLINK("https://www.boe.es/gazeta/dias/1817/09/25/pdfs/GMD-1817-115.pdf#page=11","Abrir facsímil")</f>
        <v>Abrir facsímil</v>
      </c>
      <c r="K2984" s="3" t="s">
        <v>23</v>
      </c>
    </row>
    <row r="2985" spans="1:11" ht="42" customHeight="1">
      <c r="A2985" s="2" t="s">
        <v>7126</v>
      </c>
      <c r="B2985" s="2" t="s">
        <v>7126</v>
      </c>
      <c r="C2985" s="2" t="s">
        <v>36</v>
      </c>
      <c r="D2985" s="2" t="s">
        <v>37</v>
      </c>
      <c r="E2985" s="5">
        <v>-30060</v>
      </c>
      <c r="F2985" s="3" t="s">
        <v>446</v>
      </c>
      <c r="G2985" s="3" t="s">
        <v>72</v>
      </c>
      <c r="H2985" s="2" t="s">
        <v>21</v>
      </c>
      <c r="I2985" s="2" t="s">
        <v>7127</v>
      </c>
      <c r="J2985" s="3" t="str">
        <f>HYPERLINK("https://www.boe.es/gazeta/dias/1817/09/11/pdfs/GMD-1817-109.pdf#page=1","Abrir facsímil")</f>
        <v>Abrir facsímil</v>
      </c>
      <c r="K2985" s="3" t="s">
        <v>23</v>
      </c>
    </row>
    <row r="2986" spans="1:11" ht="42" customHeight="1">
      <c r="A2986" s="2" t="s">
        <v>7128</v>
      </c>
      <c r="B2986" s="2" t="s">
        <v>7129</v>
      </c>
      <c r="C2986" s="2" t="s">
        <v>17</v>
      </c>
      <c r="D2986" s="2" t="s">
        <v>18</v>
      </c>
      <c r="E2986" s="5">
        <v>-29957</v>
      </c>
      <c r="F2986" s="3" t="s">
        <v>1001</v>
      </c>
      <c r="G2986" s="3" t="s">
        <v>72</v>
      </c>
      <c r="H2986" s="2" t="s">
        <v>27</v>
      </c>
      <c r="I2986" s="2" t="s">
        <v>7130</v>
      </c>
      <c r="J2986" s="3" t="str">
        <f>HYPERLINK("https://www.boe.es/gazeta/dias/1817/12/23/pdfs/GMD-1817-153.pdf#page=1","Abrir facsímil")</f>
        <v>Abrir facsímil</v>
      </c>
      <c r="K2986" s="3" t="s">
        <v>29</v>
      </c>
    </row>
    <row r="2987" spans="1:11" ht="42" customHeight="1">
      <c r="A2987" s="2" t="s">
        <v>7131</v>
      </c>
      <c r="B2987" s="2" t="s">
        <v>7131</v>
      </c>
      <c r="C2987" s="2" t="s">
        <v>36</v>
      </c>
      <c r="D2987" s="2" t="s">
        <v>37</v>
      </c>
      <c r="E2987" s="5">
        <v>-30256</v>
      </c>
      <c r="F2987" s="3" t="s">
        <v>302</v>
      </c>
      <c r="G2987" s="3" t="s">
        <v>629</v>
      </c>
      <c r="H2987" s="2" t="s">
        <v>21</v>
      </c>
      <c r="I2987" s="2" t="s">
        <v>7132</v>
      </c>
      <c r="J2987" s="3" t="str">
        <f>HYPERLINK("https://www.boe.es/gazeta/dias/1817/02/27/pdfs/GMD-1817-25.pdf#page=2","Abrir facsímil")</f>
        <v>Abrir facsímil</v>
      </c>
      <c r="K2987" s="3" t="s">
        <v>23</v>
      </c>
    </row>
    <row r="2988" spans="1:11" ht="42" customHeight="1">
      <c r="A2988" s="2" t="s">
        <v>7133</v>
      </c>
      <c r="B2988" s="2" t="s">
        <v>7133</v>
      </c>
      <c r="C2988" s="2" t="s">
        <v>17</v>
      </c>
      <c r="D2988" s="2" t="s">
        <v>18</v>
      </c>
      <c r="E2988" s="5">
        <v>-30184</v>
      </c>
      <c r="F2988" s="3" t="s">
        <v>423</v>
      </c>
      <c r="G2988" s="3" t="s">
        <v>629</v>
      </c>
      <c r="H2988" s="2" t="s">
        <v>21</v>
      </c>
      <c r="I2988" s="2" t="s">
        <v>7134</v>
      </c>
      <c r="J2988" s="3" t="str">
        <f>HYPERLINK("https://www.boe.es/gazeta/dias/1817/05/10/pdfs/GMD-1817-56.pdf#page=2","Abrir facsímil")</f>
        <v>Abrir facsímil</v>
      </c>
      <c r="K2988" s="3" t="s">
        <v>23</v>
      </c>
    </row>
    <row r="2989" spans="1:11" ht="42" customHeight="1">
      <c r="A2989" s="2" t="s">
        <v>7135</v>
      </c>
      <c r="B2989" s="2" t="s">
        <v>7136</v>
      </c>
      <c r="C2989" s="2" t="s">
        <v>36</v>
      </c>
      <c r="D2989" s="2" t="s">
        <v>37</v>
      </c>
      <c r="E2989" s="5">
        <v>-30128</v>
      </c>
      <c r="F2989" s="3" t="s">
        <v>761</v>
      </c>
      <c r="G2989" s="3" t="s">
        <v>20</v>
      </c>
      <c r="H2989" s="2" t="s">
        <v>21</v>
      </c>
      <c r="I2989" s="2" t="s">
        <v>7137</v>
      </c>
      <c r="J2989" s="3" t="str">
        <f>HYPERLINK("https://www.boe.es/gazeta/dias/1817/07/05/pdfs/GMD-1817-80.pdf#page=7","Abrir facsímil")</f>
        <v>Abrir facsímil</v>
      </c>
      <c r="K2989" s="3" t="s">
        <v>23</v>
      </c>
    </row>
    <row r="2990" spans="1:11" ht="42" customHeight="1">
      <c r="A2990" s="2" t="s">
        <v>7138</v>
      </c>
      <c r="B2990" s="2" t="s">
        <v>7139</v>
      </c>
      <c r="C2990" s="2" t="s">
        <v>43</v>
      </c>
      <c r="D2990" s="2" t="s">
        <v>44</v>
      </c>
      <c r="E2990" s="5">
        <v>-29997</v>
      </c>
      <c r="F2990" s="3" t="s">
        <v>652</v>
      </c>
      <c r="G2990" s="3" t="s">
        <v>144</v>
      </c>
      <c r="H2990" s="2" t="s">
        <v>21</v>
      </c>
      <c r="I2990" s="2" t="s">
        <v>7140</v>
      </c>
      <c r="J2990" s="3" t="str">
        <f>HYPERLINK("https://www.boe.es/gazeta/dias/1817/11/13/pdfs/GMD-1817-136.pdf#page=4","Abrir facsímil")</f>
        <v>Abrir facsímil</v>
      </c>
      <c r="K2990" s="3" t="s">
        <v>23</v>
      </c>
    </row>
    <row r="2991" spans="1:11" ht="42" customHeight="1">
      <c r="A2991" s="2" t="s">
        <v>7141</v>
      </c>
      <c r="B2991" s="2" t="s">
        <v>7142</v>
      </c>
      <c r="C2991" s="2" t="s">
        <v>43</v>
      </c>
      <c r="D2991" s="2" t="s">
        <v>44</v>
      </c>
      <c r="E2991" s="5">
        <v>-30303</v>
      </c>
      <c r="F2991" s="3" t="s">
        <v>407</v>
      </c>
      <c r="G2991" s="3" t="s">
        <v>39</v>
      </c>
      <c r="H2991" s="2" t="s">
        <v>21</v>
      </c>
      <c r="I2991" s="2" t="s">
        <v>7143</v>
      </c>
      <c r="J2991" s="3" t="str">
        <f>HYPERLINK("https://www.boe.es/gazeta/dias/1817/01/11/pdfs/GMD-1817-5.pdf#page=5","Abrir facsímil")</f>
        <v>Abrir facsímil</v>
      </c>
      <c r="K2991" s="3" t="s">
        <v>23</v>
      </c>
    </row>
    <row r="2992" spans="1:11" ht="42" customHeight="1">
      <c r="A2992" s="2" t="s">
        <v>7144</v>
      </c>
      <c r="B2992" s="2" t="s">
        <v>7145</v>
      </c>
      <c r="C2992" s="2" t="s">
        <v>17</v>
      </c>
      <c r="D2992" s="2" t="s">
        <v>18</v>
      </c>
      <c r="E2992" s="5">
        <v>-30076</v>
      </c>
      <c r="F2992" s="3" t="s">
        <v>439</v>
      </c>
      <c r="G2992" s="3" t="s">
        <v>72</v>
      </c>
      <c r="H2992" s="2" t="s">
        <v>21</v>
      </c>
      <c r="I2992" s="2" t="s">
        <v>7146</v>
      </c>
      <c r="J2992" s="3" t="str">
        <f>HYPERLINK("https://www.boe.es/gazeta/dias/1817/08/26/pdfs/GMD-1817-102.pdf#page=1","Abrir facsímil")</f>
        <v>Abrir facsímil</v>
      </c>
      <c r="K2992" s="3" t="s">
        <v>23</v>
      </c>
    </row>
    <row r="2993" spans="1:11" ht="42" customHeight="1">
      <c r="A2993" s="2" t="s">
        <v>7147</v>
      </c>
      <c r="B2993" s="2" t="s">
        <v>7148</v>
      </c>
      <c r="C2993" s="2" t="s">
        <v>138</v>
      </c>
      <c r="D2993" s="2" t="s">
        <v>44</v>
      </c>
      <c r="E2993" s="5">
        <v>-30275</v>
      </c>
      <c r="F2993" s="3" t="s">
        <v>1025</v>
      </c>
      <c r="G2993" s="3" t="s">
        <v>77</v>
      </c>
      <c r="H2993" s="2" t="s">
        <v>27</v>
      </c>
      <c r="I2993" s="2" t="s">
        <v>7149</v>
      </c>
      <c r="J2993" s="3" t="str">
        <f>HYPERLINK("https://www.boe.es/gazeta/dias/1817/02/08/pdfs/GMD-1817-17.pdf#page=8","Abrir facsímil")</f>
        <v>Abrir facsímil</v>
      </c>
      <c r="K2993" s="3" t="s">
        <v>29</v>
      </c>
    </row>
    <row r="2994" spans="1:11" ht="42" customHeight="1">
      <c r="A2994" s="2" t="s">
        <v>7147</v>
      </c>
      <c r="B2994" s="2" t="s">
        <v>7148</v>
      </c>
      <c r="C2994" s="2" t="s">
        <v>138</v>
      </c>
      <c r="D2994" s="2" t="s">
        <v>44</v>
      </c>
      <c r="E2994" s="5">
        <v>-30167</v>
      </c>
      <c r="F2994" s="3" t="s">
        <v>153</v>
      </c>
      <c r="G2994" s="3" t="s">
        <v>2489</v>
      </c>
      <c r="H2994" s="2" t="s">
        <v>27</v>
      </c>
      <c r="I2994" s="2" t="s">
        <v>7150</v>
      </c>
      <c r="J2994" s="3" t="str">
        <f>HYPERLINK("https://www.boe.es/gazeta/dias/1817/05/27/pdfs/GMD-1817-63.pdf#page=8","Abrir facsímil")</f>
        <v>Abrir facsímil</v>
      </c>
      <c r="K2994" s="3" t="s">
        <v>29</v>
      </c>
    </row>
    <row r="2995" spans="1:11" ht="42" customHeight="1">
      <c r="A2995" s="2" t="s">
        <v>7147</v>
      </c>
      <c r="B2995" s="2" t="s">
        <v>7148</v>
      </c>
      <c r="C2995" s="2" t="s">
        <v>138</v>
      </c>
      <c r="D2995" s="2" t="s">
        <v>44</v>
      </c>
      <c r="E2995" s="5">
        <v>-30130</v>
      </c>
      <c r="F2995" s="3" t="s">
        <v>768</v>
      </c>
      <c r="G2995" s="3" t="s">
        <v>77</v>
      </c>
      <c r="H2995" s="2" t="s">
        <v>27</v>
      </c>
      <c r="I2995" s="2" t="s">
        <v>7151</v>
      </c>
      <c r="J2995" s="3" t="str">
        <f>HYPERLINK("https://www.boe.es/gazeta/dias/1817/07/03/pdfs/GMD-1817-79.pdf#page=8","Abrir facsímil")</f>
        <v>Abrir facsímil</v>
      </c>
      <c r="K2995" s="3" t="s">
        <v>29</v>
      </c>
    </row>
    <row r="2996" spans="1:11" ht="42" customHeight="1">
      <c r="A2996" s="2" t="s">
        <v>7147</v>
      </c>
      <c r="B2996" s="2" t="s">
        <v>7148</v>
      </c>
      <c r="C2996" s="2" t="s">
        <v>138</v>
      </c>
      <c r="D2996" s="2" t="s">
        <v>44</v>
      </c>
      <c r="E2996" s="5">
        <v>-30011</v>
      </c>
      <c r="F2996" s="3" t="s">
        <v>313</v>
      </c>
      <c r="G2996" s="3" t="s">
        <v>82</v>
      </c>
      <c r="H2996" s="2" t="s">
        <v>27</v>
      </c>
      <c r="I2996" s="2" t="s">
        <v>7152</v>
      </c>
      <c r="J2996" s="3" t="str">
        <f>HYPERLINK("https://www.boe.es/gazeta/dias/1817/10/30/pdfs/GMD-1817-130.pdf#page=12","Abrir facsímil")</f>
        <v>Abrir facsímil</v>
      </c>
      <c r="K2996" s="3" t="s">
        <v>29</v>
      </c>
    </row>
    <row r="2997" spans="1:11" ht="42" customHeight="1">
      <c r="A2997" s="2" t="s">
        <v>7147</v>
      </c>
      <c r="B2997" s="2" t="s">
        <v>7148</v>
      </c>
      <c r="C2997" s="2" t="s">
        <v>138</v>
      </c>
      <c r="D2997" s="2" t="s">
        <v>44</v>
      </c>
      <c r="E2997" s="5">
        <v>-29955</v>
      </c>
      <c r="F2997" s="3" t="s">
        <v>805</v>
      </c>
      <c r="G2997" s="3" t="s">
        <v>2650</v>
      </c>
      <c r="H2997" s="2" t="s">
        <v>27</v>
      </c>
      <c r="I2997" s="2" t="s">
        <v>7153</v>
      </c>
      <c r="J2997" s="3" t="str">
        <f>HYPERLINK("https://www.boe.es/gazeta/dias/1817/12/25/pdfs/GMD-1817-154.pdf#page=8","Abrir facsímil")</f>
        <v>Abrir facsímil</v>
      </c>
      <c r="K2997" s="3" t="s">
        <v>29</v>
      </c>
    </row>
    <row r="2998" spans="1:11" ht="42" customHeight="1">
      <c r="A2998" s="2" t="s">
        <v>7154</v>
      </c>
      <c r="B2998" s="2" t="s">
        <v>7155</v>
      </c>
      <c r="C2998" s="2" t="s">
        <v>36</v>
      </c>
      <c r="D2998" s="2" t="s">
        <v>37</v>
      </c>
      <c r="E2998" s="5">
        <v>-30011</v>
      </c>
      <c r="F2998" s="3" t="s">
        <v>313</v>
      </c>
      <c r="G2998" s="3" t="s">
        <v>1736</v>
      </c>
      <c r="H2998" s="2" t="s">
        <v>21</v>
      </c>
      <c r="I2998" s="2" t="s">
        <v>7156</v>
      </c>
      <c r="J2998" s="3" t="str">
        <f>HYPERLINK("https://www.boe.es/gazeta/dias/1817/10/30/pdfs/GMD-1817-130.pdf#page=11","Abrir facsímil")</f>
        <v>Abrir facsímil</v>
      </c>
      <c r="K2998" s="3" t="s">
        <v>23</v>
      </c>
    </row>
    <row r="2999" spans="1:11" ht="42" customHeight="1">
      <c r="A2999" s="2" t="s">
        <v>7154</v>
      </c>
      <c r="B2999" s="2" t="s">
        <v>7155</v>
      </c>
      <c r="C2999" s="2" t="s">
        <v>36</v>
      </c>
      <c r="D2999" s="2" t="s">
        <v>37</v>
      </c>
      <c r="E2999" s="5">
        <v>-30011</v>
      </c>
      <c r="F2999" s="3" t="s">
        <v>313</v>
      </c>
      <c r="G2999" s="3" t="s">
        <v>887</v>
      </c>
      <c r="H2999" s="2" t="s">
        <v>21</v>
      </c>
      <c r="I2999" s="2" t="s">
        <v>7157</v>
      </c>
      <c r="J2999" s="3" t="str">
        <f>HYPERLINK("https://www.boe.es/gazeta/dias/1817/10/30/pdfs/GMD-1817-130.pdf#page=9","Abrir facsímil")</f>
        <v>Abrir facsímil</v>
      </c>
      <c r="K2999" s="3" t="s">
        <v>23</v>
      </c>
    </row>
    <row r="3000" spans="1:11" ht="42" customHeight="1">
      <c r="A3000" s="2" t="s">
        <v>7158</v>
      </c>
      <c r="B3000" s="2" t="s">
        <v>7159</v>
      </c>
      <c r="C3000" s="2" t="s">
        <v>36</v>
      </c>
      <c r="D3000" s="2" t="s">
        <v>37</v>
      </c>
      <c r="E3000" s="5">
        <v>-30032</v>
      </c>
      <c r="F3000" s="3" t="s">
        <v>337</v>
      </c>
      <c r="G3000" s="3" t="s">
        <v>144</v>
      </c>
      <c r="H3000" s="2" t="s">
        <v>21</v>
      </c>
      <c r="I3000" s="2" t="s">
        <v>7160</v>
      </c>
      <c r="J3000" s="3" t="str">
        <f>HYPERLINK("https://www.boe.es/gazeta/dias/1817/10/09/pdfs/GMD-1817-121.pdf#page=4","Abrir facsímil")</f>
        <v>Abrir facsímil</v>
      </c>
      <c r="K3000" s="3" t="s">
        <v>23</v>
      </c>
    </row>
    <row r="3001" spans="1:11" ht="42" customHeight="1">
      <c r="A3001" s="2" t="s">
        <v>7161</v>
      </c>
      <c r="B3001" s="2" t="s">
        <v>7162</v>
      </c>
      <c r="C3001" s="2" t="s">
        <v>17</v>
      </c>
      <c r="D3001" s="2" t="s">
        <v>18</v>
      </c>
      <c r="E3001" s="5">
        <v>-30079</v>
      </c>
      <c r="F3001" s="3" t="s">
        <v>45</v>
      </c>
      <c r="G3001" s="3" t="s">
        <v>77</v>
      </c>
      <c r="H3001" s="2" t="s">
        <v>21</v>
      </c>
      <c r="I3001" s="2" t="s">
        <v>7163</v>
      </c>
      <c r="J3001" s="3" t="str">
        <f>HYPERLINK("https://www.boe.es/gazeta/dias/1817/08/23/pdfs/GMD-1817-101.pdf#page=8","Abrir facsímil")</f>
        <v>Abrir facsímil</v>
      </c>
      <c r="K3001" s="3" t="s">
        <v>23</v>
      </c>
    </row>
    <row r="3002" spans="1:11" ht="42" customHeight="1">
      <c r="A3002" s="2" t="s">
        <v>7164</v>
      </c>
      <c r="B3002" s="2" t="s">
        <v>7165</v>
      </c>
      <c r="C3002" s="2" t="s">
        <v>36</v>
      </c>
      <c r="D3002" s="2" t="s">
        <v>37</v>
      </c>
      <c r="E3002" s="5">
        <v>-30076</v>
      </c>
      <c r="F3002" s="3" t="s">
        <v>439</v>
      </c>
      <c r="G3002" s="3" t="s">
        <v>144</v>
      </c>
      <c r="H3002" s="2" t="s">
        <v>21</v>
      </c>
      <c r="I3002" s="2" t="s">
        <v>7166</v>
      </c>
      <c r="J3002" s="3" t="str">
        <f>HYPERLINK("https://www.boe.es/gazeta/dias/1817/08/26/pdfs/GMD-1817-102.pdf#page=4","Abrir facsímil")</f>
        <v>Abrir facsímil</v>
      </c>
      <c r="K3002" s="3" t="s">
        <v>23</v>
      </c>
    </row>
    <row r="3003" spans="1:11" ht="42" customHeight="1">
      <c r="A3003" s="2" t="s">
        <v>7167</v>
      </c>
      <c r="B3003" s="2" t="s">
        <v>7167</v>
      </c>
      <c r="C3003" s="2" t="s">
        <v>17</v>
      </c>
      <c r="D3003" s="2" t="s">
        <v>18</v>
      </c>
      <c r="E3003" s="5">
        <v>-30312</v>
      </c>
      <c r="F3003" s="3" t="s">
        <v>86</v>
      </c>
      <c r="G3003" s="3" t="s">
        <v>20</v>
      </c>
      <c r="H3003" s="2" t="s">
        <v>21</v>
      </c>
      <c r="I3003" s="2" t="s">
        <v>7168</v>
      </c>
      <c r="J3003" s="3" t="str">
        <f>HYPERLINK("https://www.boe.es/gazeta/dias/1817/01/02/pdfs/GMD-1817-1.pdf#page=7","Abrir facsímil")</f>
        <v>Abrir facsímil</v>
      </c>
      <c r="K3003" s="3" t="s">
        <v>23</v>
      </c>
    </row>
    <row r="3004" spans="1:11" ht="42" customHeight="1">
      <c r="A3004" s="2" t="s">
        <v>7167</v>
      </c>
      <c r="B3004" s="2" t="s">
        <v>7167</v>
      </c>
      <c r="C3004" s="2" t="s">
        <v>510</v>
      </c>
      <c r="D3004" s="2" t="s">
        <v>44</v>
      </c>
      <c r="E3004" s="5">
        <v>-30202</v>
      </c>
      <c r="F3004" s="3" t="s">
        <v>418</v>
      </c>
      <c r="G3004" s="3" t="s">
        <v>72</v>
      </c>
      <c r="H3004" s="2" t="s">
        <v>21</v>
      </c>
      <c r="I3004" s="2" t="s">
        <v>7169</v>
      </c>
      <c r="J3004" s="3" t="str">
        <f>HYPERLINK("https://www.boe.es/gazeta/dias/1817/04/22/pdfs/GMD-1817-48.pdf#page=1","Abrir facsímil")</f>
        <v>Abrir facsímil</v>
      </c>
      <c r="K3004" s="3" t="s">
        <v>23</v>
      </c>
    </row>
    <row r="3005" spans="1:11" ht="42" customHeight="1">
      <c r="A3005" s="2" t="s">
        <v>7167</v>
      </c>
      <c r="B3005" s="2" t="s">
        <v>7167</v>
      </c>
      <c r="C3005" s="2" t="s">
        <v>36</v>
      </c>
      <c r="D3005" s="2" t="s">
        <v>37</v>
      </c>
      <c r="E3005" s="5">
        <v>-30065</v>
      </c>
      <c r="F3005" s="3" t="s">
        <v>201</v>
      </c>
      <c r="G3005" s="3" t="s">
        <v>20</v>
      </c>
      <c r="H3005" s="2" t="s">
        <v>21</v>
      </c>
      <c r="I3005" s="2" t="s">
        <v>7170</v>
      </c>
      <c r="J3005" s="3" t="str">
        <f>HYPERLINK("https://www.boe.es/gazeta/dias/1817/09/06/pdfs/GMD-1817-107.pdf#page=7","Abrir facsímil")</f>
        <v>Abrir facsímil</v>
      </c>
      <c r="K3005" s="3" t="s">
        <v>23</v>
      </c>
    </row>
    <row r="3006" spans="1:11" ht="42" customHeight="1">
      <c r="A3006" s="2" t="s">
        <v>7171</v>
      </c>
      <c r="B3006" s="2" t="s">
        <v>7172</v>
      </c>
      <c r="C3006" s="2" t="s">
        <v>17</v>
      </c>
      <c r="D3006" s="2" t="s">
        <v>18</v>
      </c>
      <c r="E3006" s="5">
        <v>-30216</v>
      </c>
      <c r="F3006" s="3" t="s">
        <v>344</v>
      </c>
      <c r="G3006" s="3" t="s">
        <v>77</v>
      </c>
      <c r="H3006" s="2" t="s">
        <v>21</v>
      </c>
      <c r="I3006" s="2" t="s">
        <v>7173</v>
      </c>
      <c r="J3006" s="3" t="str">
        <f>HYPERLINK("https://www.boe.es/gazeta/dias/1817/04/08/pdfs/GMD-1817-42.pdf#page=8","Abrir facsímil")</f>
        <v>Abrir facsímil</v>
      </c>
      <c r="K3006" s="3" t="s">
        <v>23</v>
      </c>
    </row>
    <row r="3007" spans="1:11" ht="42" customHeight="1">
      <c r="A3007" s="2" t="s">
        <v>7174</v>
      </c>
      <c r="B3007" s="2" t="s">
        <v>7175</v>
      </c>
      <c r="C3007" s="2" t="s">
        <v>43</v>
      </c>
      <c r="D3007" s="2" t="s">
        <v>44</v>
      </c>
      <c r="E3007" s="5">
        <v>-30079</v>
      </c>
      <c r="F3007" s="3" t="s">
        <v>45</v>
      </c>
      <c r="G3007" s="3" t="s">
        <v>39</v>
      </c>
      <c r="H3007" s="2" t="s">
        <v>21</v>
      </c>
      <c r="I3007" s="2" t="s">
        <v>7176</v>
      </c>
      <c r="J3007" s="3" t="str">
        <f>HYPERLINK("https://www.boe.es/gazeta/dias/1817/08/23/pdfs/GMD-1817-101.pdf#page=5","Abrir facsímil")</f>
        <v>Abrir facsímil</v>
      </c>
      <c r="K3007" s="3" t="s">
        <v>23</v>
      </c>
    </row>
    <row r="3008" spans="1:11" ht="42" customHeight="1">
      <c r="A3008" s="2" t="s">
        <v>7177</v>
      </c>
      <c r="B3008" s="2" t="s">
        <v>7177</v>
      </c>
      <c r="C3008" s="2" t="s">
        <v>510</v>
      </c>
      <c r="D3008" s="2" t="s">
        <v>44</v>
      </c>
      <c r="E3008" s="5">
        <v>-30305</v>
      </c>
      <c r="F3008" s="3" t="s">
        <v>405</v>
      </c>
      <c r="G3008" s="3" t="s">
        <v>72</v>
      </c>
      <c r="H3008" s="2" t="s">
        <v>21</v>
      </c>
      <c r="I3008" s="2" t="s">
        <v>7178</v>
      </c>
      <c r="J3008" s="3" t="str">
        <f>HYPERLINK("https://www.boe.es/gazeta/dias/1817/01/09/pdfs/GMD-1817-4.pdf#page=1","Abrir facsímil")</f>
        <v>Abrir facsímil</v>
      </c>
      <c r="K3008" s="3" t="s">
        <v>23</v>
      </c>
    </row>
    <row r="3009" spans="1:11" ht="42" customHeight="1">
      <c r="A3009" s="2" t="s">
        <v>7177</v>
      </c>
      <c r="B3009" s="2" t="s">
        <v>7177</v>
      </c>
      <c r="C3009" s="2" t="s">
        <v>17</v>
      </c>
      <c r="D3009" s="2" t="s">
        <v>18</v>
      </c>
      <c r="E3009" s="5">
        <v>-30249</v>
      </c>
      <c r="F3009" s="3" t="s">
        <v>120</v>
      </c>
      <c r="G3009" s="3" t="s">
        <v>39</v>
      </c>
      <c r="H3009" s="2" t="s">
        <v>21</v>
      </c>
      <c r="I3009" s="2" t="s">
        <v>7179</v>
      </c>
      <c r="J3009" s="3" t="str">
        <f>HYPERLINK("https://www.boe.es/gazeta/dias/1817/03/06/pdfs/GMD-1817-28.pdf#page=5","Abrir facsímil")</f>
        <v>Abrir facsímil</v>
      </c>
      <c r="K3009" s="3" t="s">
        <v>23</v>
      </c>
    </row>
    <row r="3010" spans="1:11" ht="42" customHeight="1">
      <c r="A3010" s="2" t="s">
        <v>7177</v>
      </c>
      <c r="B3010" s="2" t="s">
        <v>7177</v>
      </c>
      <c r="C3010" s="2" t="s">
        <v>17</v>
      </c>
      <c r="D3010" s="2" t="s">
        <v>18</v>
      </c>
      <c r="E3010" s="5">
        <v>-30209</v>
      </c>
      <c r="F3010" s="3" t="s">
        <v>1478</v>
      </c>
      <c r="G3010" s="3" t="s">
        <v>57</v>
      </c>
      <c r="H3010" s="2" t="s">
        <v>21</v>
      </c>
      <c r="I3010" s="2" t="s">
        <v>7180</v>
      </c>
      <c r="J3010" s="3" t="str">
        <f>HYPERLINK("https://www.boe.es/gazeta/dias/1817/04/15/pdfs/GMD-1817-45.pdf#page=6","Abrir facsímil")</f>
        <v>Abrir facsímil</v>
      </c>
      <c r="K3010" s="3" t="s">
        <v>23</v>
      </c>
    </row>
    <row r="3011" spans="1:11" ht="42" customHeight="1">
      <c r="A3011" s="2" t="s">
        <v>7177</v>
      </c>
      <c r="B3011" s="2" t="s">
        <v>7177</v>
      </c>
      <c r="C3011" s="2" t="s">
        <v>97</v>
      </c>
      <c r="D3011" s="2" t="s">
        <v>44</v>
      </c>
      <c r="E3011" s="5">
        <v>-30186</v>
      </c>
      <c r="F3011" s="3" t="s">
        <v>2003</v>
      </c>
      <c r="G3011" s="3" t="s">
        <v>77</v>
      </c>
      <c r="H3011" s="2" t="s">
        <v>21</v>
      </c>
      <c r="I3011" s="2" t="s">
        <v>7181</v>
      </c>
      <c r="J3011" s="3" t="str">
        <f>HYPERLINK("https://www.boe.es/gazeta/dias/1817/05/08/pdfs/GMD-1817-55.pdf#page=8","Abrir facsímil")</f>
        <v>Abrir facsímil</v>
      </c>
      <c r="K3011" s="3" t="s">
        <v>23</v>
      </c>
    </row>
    <row r="3012" spans="1:11" ht="42" customHeight="1">
      <c r="A3012" s="2" t="s">
        <v>7177</v>
      </c>
      <c r="B3012" s="2" t="s">
        <v>7177</v>
      </c>
      <c r="C3012" s="2" t="s">
        <v>43</v>
      </c>
      <c r="D3012" s="2" t="s">
        <v>44</v>
      </c>
      <c r="E3012" s="5">
        <v>-30139</v>
      </c>
      <c r="F3012" s="3" t="s">
        <v>993</v>
      </c>
      <c r="G3012" s="3" t="s">
        <v>1053</v>
      </c>
      <c r="H3012" s="2" t="s">
        <v>21</v>
      </c>
      <c r="I3012" s="2" t="s">
        <v>7182</v>
      </c>
      <c r="J3012" s="3" t="str">
        <f>HYPERLINK("https://www.boe.es/gazeta/dias/1817/06/24/pdfs/GMD-1817-75.pdf#page=4","Abrir facsímil")</f>
        <v>Abrir facsímil</v>
      </c>
      <c r="K3012" s="3" t="s">
        <v>23</v>
      </c>
    </row>
    <row r="3013" spans="1:11" ht="42" customHeight="1">
      <c r="A3013" s="2" t="s">
        <v>7177</v>
      </c>
      <c r="B3013" s="2" t="s">
        <v>7177</v>
      </c>
      <c r="C3013" s="2" t="s">
        <v>138</v>
      </c>
      <c r="D3013" s="2" t="s">
        <v>44</v>
      </c>
      <c r="E3013" s="5">
        <v>-30135</v>
      </c>
      <c r="F3013" s="3" t="s">
        <v>239</v>
      </c>
      <c r="G3013" s="3" t="s">
        <v>39</v>
      </c>
      <c r="H3013" s="2" t="s">
        <v>21</v>
      </c>
      <c r="I3013" s="2" t="s">
        <v>7183</v>
      </c>
      <c r="J3013" s="3" t="str">
        <f>HYPERLINK("https://www.boe.es/gazeta/dias/1817/06/28/pdfs/GMD-1817-77.pdf#page=5","Abrir facsímil")</f>
        <v>Abrir facsímil</v>
      </c>
      <c r="K3013" s="3" t="s">
        <v>23</v>
      </c>
    </row>
    <row r="3014" spans="1:11" ht="42" customHeight="1">
      <c r="A3014" s="2" t="s">
        <v>7177</v>
      </c>
      <c r="B3014" s="2" t="s">
        <v>7177</v>
      </c>
      <c r="C3014" s="2" t="s">
        <v>36</v>
      </c>
      <c r="D3014" s="2" t="s">
        <v>37</v>
      </c>
      <c r="E3014" s="5">
        <v>-30065</v>
      </c>
      <c r="F3014" s="3" t="s">
        <v>201</v>
      </c>
      <c r="G3014" s="3" t="s">
        <v>57</v>
      </c>
      <c r="H3014" s="2" t="s">
        <v>21</v>
      </c>
      <c r="I3014" s="2" t="s">
        <v>7184</v>
      </c>
      <c r="J3014" s="3" t="str">
        <f>HYPERLINK("https://www.boe.es/gazeta/dias/1817/09/06/pdfs/GMD-1817-107.pdf#page=6","Abrir facsímil")</f>
        <v>Abrir facsímil</v>
      </c>
      <c r="K3014" s="3" t="s">
        <v>23</v>
      </c>
    </row>
    <row r="3015" spans="1:11" ht="42" customHeight="1">
      <c r="A3015" s="2" t="s">
        <v>7177</v>
      </c>
      <c r="B3015" s="2" t="s">
        <v>7177</v>
      </c>
      <c r="C3015" s="2" t="s">
        <v>36</v>
      </c>
      <c r="D3015" s="2" t="s">
        <v>37</v>
      </c>
      <c r="E3015" s="5">
        <v>-30065</v>
      </c>
      <c r="F3015" s="3" t="s">
        <v>201</v>
      </c>
      <c r="G3015" s="3" t="s">
        <v>20</v>
      </c>
      <c r="H3015" s="2" t="s">
        <v>21</v>
      </c>
      <c r="I3015" s="2" t="s">
        <v>7185</v>
      </c>
      <c r="J3015" s="3" t="str">
        <f>HYPERLINK("https://www.boe.es/gazeta/dias/1817/09/06/pdfs/GMD-1817-107.pdf#page=7","Abrir facsímil")</f>
        <v>Abrir facsímil</v>
      </c>
      <c r="K3015" s="3" t="s">
        <v>23</v>
      </c>
    </row>
    <row r="3016" spans="1:11" ht="42" customHeight="1">
      <c r="A3016" s="2" t="s">
        <v>7177</v>
      </c>
      <c r="B3016" s="2" t="s">
        <v>7177</v>
      </c>
      <c r="C3016" s="2" t="s">
        <v>36</v>
      </c>
      <c r="D3016" s="2" t="s">
        <v>37</v>
      </c>
      <c r="E3016" s="5">
        <v>-30039</v>
      </c>
      <c r="F3016" s="3" t="s">
        <v>558</v>
      </c>
      <c r="G3016" s="3" t="s">
        <v>1592</v>
      </c>
      <c r="H3016" s="2" t="s">
        <v>21</v>
      </c>
      <c r="I3016" s="2" t="s">
        <v>7186</v>
      </c>
      <c r="J3016" s="3" t="str">
        <f>HYPERLINK("https://www.boe.es/gazeta/dias/1817/10/02/pdfs/GMD-1817-118.pdf#page=6","Abrir facsímil")</f>
        <v>Abrir facsímil</v>
      </c>
      <c r="K3016" s="3" t="s">
        <v>23</v>
      </c>
    </row>
    <row r="3017" spans="1:11" ht="42" customHeight="1">
      <c r="A3017" s="2" t="s">
        <v>7187</v>
      </c>
      <c r="B3017" s="2" t="s">
        <v>7188</v>
      </c>
      <c r="C3017" s="2" t="s">
        <v>43</v>
      </c>
      <c r="D3017" s="2" t="s">
        <v>44</v>
      </c>
      <c r="E3017" s="5">
        <v>-30286</v>
      </c>
      <c r="F3017" s="3" t="s">
        <v>354</v>
      </c>
      <c r="G3017" s="3" t="s">
        <v>57</v>
      </c>
      <c r="H3017" s="2" t="s">
        <v>21</v>
      </c>
      <c r="I3017" s="2" t="s">
        <v>7189</v>
      </c>
      <c r="J3017" s="3" t="str">
        <f>HYPERLINK("https://www.boe.es/gazeta/dias/1817/01/28/pdfs/GMD-1817-12.pdf#page=6","Abrir facsímil")</f>
        <v>Abrir facsímil</v>
      </c>
      <c r="K3017" s="3" t="s">
        <v>23</v>
      </c>
    </row>
    <row r="3018" spans="1:11" ht="42" customHeight="1">
      <c r="A3018" s="2" t="s">
        <v>7190</v>
      </c>
      <c r="B3018" s="2" t="s">
        <v>7191</v>
      </c>
      <c r="C3018" s="2" t="s">
        <v>43</v>
      </c>
      <c r="D3018" s="2" t="s">
        <v>44</v>
      </c>
      <c r="E3018" s="5">
        <v>-30286</v>
      </c>
      <c r="F3018" s="3" t="s">
        <v>354</v>
      </c>
      <c r="G3018" s="3" t="s">
        <v>1580</v>
      </c>
      <c r="H3018" s="2" t="s">
        <v>27</v>
      </c>
      <c r="I3018" s="2" t="s">
        <v>7192</v>
      </c>
      <c r="J3018" s="3" t="str">
        <f>HYPERLINK("https://www.boe.es/gazeta/dias/1817/01/28/pdfs/GMD-1817-12.pdf#page=5","Abrir facsímil")</f>
        <v>Abrir facsímil</v>
      </c>
      <c r="K3018" s="3" t="s">
        <v>29</v>
      </c>
    </row>
    <row r="3019" spans="1:11" ht="42" customHeight="1">
      <c r="A3019" s="2" t="s">
        <v>7193</v>
      </c>
      <c r="B3019" s="2" t="s">
        <v>7194</v>
      </c>
      <c r="C3019" s="2" t="s">
        <v>17</v>
      </c>
      <c r="D3019" s="2" t="s">
        <v>18</v>
      </c>
      <c r="E3019" s="5">
        <v>-30230</v>
      </c>
      <c r="F3019" s="3" t="s">
        <v>189</v>
      </c>
      <c r="G3019" s="3" t="s">
        <v>39</v>
      </c>
      <c r="H3019" s="2" t="s">
        <v>21</v>
      </c>
      <c r="I3019" s="2" t="s">
        <v>7195</v>
      </c>
      <c r="J3019" s="3" t="str">
        <f>HYPERLINK("https://www.boe.es/gazeta/dias/1817/03/25/pdfs/GMD-1817-36.pdf#page=5","Abrir facsímil")</f>
        <v>Abrir facsímil</v>
      </c>
      <c r="K3019" s="3" t="s">
        <v>23</v>
      </c>
    </row>
    <row r="3020" spans="1:11" ht="42" customHeight="1">
      <c r="A3020" s="2" t="s">
        <v>7196</v>
      </c>
      <c r="B3020" s="2" t="s">
        <v>7197</v>
      </c>
      <c r="C3020" s="2" t="s">
        <v>43</v>
      </c>
      <c r="D3020" s="2" t="s">
        <v>44</v>
      </c>
      <c r="E3020" s="5">
        <v>-30254</v>
      </c>
      <c r="F3020" s="3" t="s">
        <v>124</v>
      </c>
      <c r="G3020" s="3" t="s">
        <v>3053</v>
      </c>
      <c r="H3020" s="2" t="s">
        <v>21</v>
      </c>
      <c r="I3020" s="2" t="s">
        <v>7198</v>
      </c>
      <c r="J3020" s="3" t="str">
        <f>HYPERLINK("https://www.boe.es/gazeta/dias/1817/03/01/pdfs/GMD-1817-26.pdf#page=8","Abrir facsímil")</f>
        <v>Abrir facsímil</v>
      </c>
      <c r="K3020" s="3" t="s">
        <v>23</v>
      </c>
    </row>
    <row r="3021" spans="1:11" ht="42" customHeight="1">
      <c r="A3021" s="2" t="s">
        <v>7199</v>
      </c>
      <c r="B3021" s="2" t="s">
        <v>7200</v>
      </c>
      <c r="C3021" s="2" t="s">
        <v>97</v>
      </c>
      <c r="D3021" s="2" t="s">
        <v>44</v>
      </c>
      <c r="E3021" s="5">
        <v>-30277</v>
      </c>
      <c r="F3021" s="3" t="s">
        <v>3822</v>
      </c>
      <c r="G3021" s="3" t="s">
        <v>39</v>
      </c>
      <c r="H3021" s="2" t="s">
        <v>27</v>
      </c>
      <c r="I3021" s="2" t="s">
        <v>7201</v>
      </c>
      <c r="J3021" s="3" t="str">
        <f>HYPERLINK("https://www.boe.es/gazeta/dias/1817/02/06/pdfs/GMD-1817-16.pdf#page=5","Abrir facsímil")</f>
        <v>Abrir facsímil</v>
      </c>
      <c r="K3021" s="3" t="s">
        <v>29</v>
      </c>
    </row>
    <row r="3022" spans="1:11" ht="42" customHeight="1">
      <c r="A3022" s="2" t="s">
        <v>7202</v>
      </c>
      <c r="B3022" s="2" t="s">
        <v>7203</v>
      </c>
      <c r="C3022" s="2" t="s">
        <v>43</v>
      </c>
      <c r="D3022" s="2" t="s">
        <v>44</v>
      </c>
      <c r="E3022" s="5">
        <v>-30303</v>
      </c>
      <c r="F3022" s="3" t="s">
        <v>407</v>
      </c>
      <c r="G3022" s="3" t="s">
        <v>39</v>
      </c>
      <c r="H3022" s="2" t="s">
        <v>27</v>
      </c>
      <c r="I3022" s="2" t="s">
        <v>7204</v>
      </c>
      <c r="J3022" s="3" t="str">
        <f>HYPERLINK("https://www.boe.es/gazeta/dias/1817/01/11/pdfs/GMD-1817-5.pdf#page=5","Abrir facsímil")</f>
        <v>Abrir facsímil</v>
      </c>
      <c r="K3022" s="3" t="s">
        <v>29</v>
      </c>
    </row>
    <row r="3023" spans="1:11" ht="42" customHeight="1">
      <c r="A3023" s="2" t="s">
        <v>7205</v>
      </c>
      <c r="B3023" s="2" t="s">
        <v>7206</v>
      </c>
      <c r="C3023" s="2" t="s">
        <v>43</v>
      </c>
      <c r="D3023" s="2" t="s">
        <v>44</v>
      </c>
      <c r="E3023" s="5">
        <v>-30123</v>
      </c>
      <c r="F3023" s="3" t="s">
        <v>848</v>
      </c>
      <c r="G3023" s="3" t="s">
        <v>3877</v>
      </c>
      <c r="H3023" s="2" t="s">
        <v>21</v>
      </c>
      <c r="I3023" s="2" t="s">
        <v>7207</v>
      </c>
      <c r="J3023" s="3" t="str">
        <f>HYPERLINK("https://www.boe.es/gazeta/dias/1817/07/10/pdfs/GMD-1817-82.pdf#page=8","Abrir facsímil")</f>
        <v>Abrir facsímil</v>
      </c>
      <c r="K3023" s="3" t="s">
        <v>23</v>
      </c>
    </row>
    <row r="3024" spans="1:11" ht="42" customHeight="1">
      <c r="A3024" s="2" t="s">
        <v>7208</v>
      </c>
      <c r="B3024" s="2" t="s">
        <v>7209</v>
      </c>
      <c r="C3024" s="2" t="s">
        <v>36</v>
      </c>
      <c r="D3024" s="2" t="s">
        <v>37</v>
      </c>
      <c r="E3024" s="5">
        <v>-30221</v>
      </c>
      <c r="F3024" s="3" t="s">
        <v>256</v>
      </c>
      <c r="G3024" s="3" t="s">
        <v>77</v>
      </c>
      <c r="H3024" s="2" t="s">
        <v>27</v>
      </c>
      <c r="I3024" s="2" t="s">
        <v>7210</v>
      </c>
      <c r="J3024" s="3" t="str">
        <f>HYPERLINK("https://www.boe.es/gazeta/dias/1817/04/03/pdfs/GMD-1817-40.pdf#page=8","Abrir facsímil")</f>
        <v>Abrir facsímil</v>
      </c>
      <c r="K3024" s="3" t="s">
        <v>29</v>
      </c>
    </row>
    <row r="3025" spans="1:11" ht="42" customHeight="1">
      <c r="A3025" s="2" t="s">
        <v>7211</v>
      </c>
      <c r="B3025" s="2" t="s">
        <v>7212</v>
      </c>
      <c r="C3025" s="2" t="s">
        <v>36</v>
      </c>
      <c r="D3025" s="2" t="s">
        <v>37</v>
      </c>
      <c r="E3025" s="5">
        <v>-30249</v>
      </c>
      <c r="F3025" s="3" t="s">
        <v>120</v>
      </c>
      <c r="G3025" s="3" t="s">
        <v>20</v>
      </c>
      <c r="H3025" s="2" t="s">
        <v>21</v>
      </c>
      <c r="I3025" s="2" t="s">
        <v>7213</v>
      </c>
      <c r="J3025" s="3" t="str">
        <f>HYPERLINK("https://www.boe.es/gazeta/dias/1817/03/06/pdfs/GMD-1817-28.pdf#page=7","Abrir facsímil")</f>
        <v>Abrir facsímil</v>
      </c>
      <c r="K3025" s="3" t="s">
        <v>23</v>
      </c>
    </row>
    <row r="3026" spans="1:11" ht="42" customHeight="1">
      <c r="A3026" s="2" t="s">
        <v>7214</v>
      </c>
      <c r="B3026" s="2" t="s">
        <v>7215</v>
      </c>
      <c r="C3026" s="2" t="s">
        <v>43</v>
      </c>
      <c r="D3026" s="2" t="s">
        <v>44</v>
      </c>
      <c r="E3026" s="5">
        <v>-30128</v>
      </c>
      <c r="F3026" s="3" t="s">
        <v>761</v>
      </c>
      <c r="G3026" s="3" t="s">
        <v>144</v>
      </c>
      <c r="H3026" s="2" t="s">
        <v>27</v>
      </c>
      <c r="I3026" s="2" t="s">
        <v>7216</v>
      </c>
      <c r="J3026" s="3" t="str">
        <f>HYPERLINK("https://www.boe.es/gazeta/dias/1817/07/05/pdfs/GMD-1817-80.pdf#page=4","Abrir facsímil")</f>
        <v>Abrir facsímil</v>
      </c>
      <c r="K3026" s="3" t="s">
        <v>29</v>
      </c>
    </row>
    <row r="3027" spans="1:11" ht="42" customHeight="1">
      <c r="A3027" s="2" t="s">
        <v>7217</v>
      </c>
      <c r="B3027" s="2" t="s">
        <v>7218</v>
      </c>
      <c r="C3027" s="2" t="s">
        <v>43</v>
      </c>
      <c r="D3027" s="2" t="s">
        <v>44</v>
      </c>
      <c r="E3027" s="5">
        <v>-30079</v>
      </c>
      <c r="F3027" s="3" t="s">
        <v>45</v>
      </c>
      <c r="G3027" s="3" t="s">
        <v>39</v>
      </c>
      <c r="H3027" s="2" t="s">
        <v>21</v>
      </c>
      <c r="I3027" s="2" t="s">
        <v>7219</v>
      </c>
      <c r="J3027" s="3" t="str">
        <f>HYPERLINK("https://www.boe.es/gazeta/dias/1817/08/23/pdfs/GMD-1817-101.pdf#page=5","Abrir facsímil")</f>
        <v>Abrir facsímil</v>
      </c>
      <c r="K3027" s="3" t="s">
        <v>23</v>
      </c>
    </row>
    <row r="3028" spans="1:11" ht="42" customHeight="1">
      <c r="A3028" s="2" t="s">
        <v>7220</v>
      </c>
      <c r="B3028" s="2" t="s">
        <v>7221</v>
      </c>
      <c r="C3028" s="2" t="s">
        <v>43</v>
      </c>
      <c r="D3028" s="2" t="s">
        <v>44</v>
      </c>
      <c r="E3028" s="5">
        <v>-30079</v>
      </c>
      <c r="F3028" s="3" t="s">
        <v>45</v>
      </c>
      <c r="G3028" s="3" t="s">
        <v>39</v>
      </c>
      <c r="H3028" s="2" t="s">
        <v>21</v>
      </c>
      <c r="I3028" s="2" t="s">
        <v>7222</v>
      </c>
      <c r="J3028" s="3" t="str">
        <f>HYPERLINK("https://www.boe.es/gazeta/dias/1817/08/23/pdfs/GMD-1817-101.pdf#page=5","Abrir facsímil")</f>
        <v>Abrir facsímil</v>
      </c>
      <c r="K3028" s="3" t="s">
        <v>23</v>
      </c>
    </row>
    <row r="3029" spans="1:11" ht="42" customHeight="1">
      <c r="A3029" s="2" t="s">
        <v>7223</v>
      </c>
      <c r="B3029" s="2" t="s">
        <v>7223</v>
      </c>
      <c r="C3029" s="2" t="s">
        <v>36</v>
      </c>
      <c r="D3029" s="2" t="s">
        <v>37</v>
      </c>
      <c r="E3029" s="5">
        <v>-30118</v>
      </c>
      <c r="F3029" s="3" t="s">
        <v>432</v>
      </c>
      <c r="G3029" s="3" t="s">
        <v>648</v>
      </c>
      <c r="H3029" s="2" t="s">
        <v>21</v>
      </c>
      <c r="I3029" s="2" t="s">
        <v>7224</v>
      </c>
      <c r="J3029" s="3" t="str">
        <f>HYPERLINK("https://www.boe.es/gazeta/dias/1817/07/15/pdfs/GMD-1817-84.pdf#page=4","Abrir facsímil")</f>
        <v>Abrir facsímil</v>
      </c>
      <c r="K3029" s="3" t="s">
        <v>23</v>
      </c>
    </row>
    <row r="3030" spans="1:11" ht="42" customHeight="1">
      <c r="A3030" s="2" t="s">
        <v>7225</v>
      </c>
      <c r="B3030" s="2" t="s">
        <v>7226</v>
      </c>
      <c r="C3030" s="2" t="s">
        <v>43</v>
      </c>
      <c r="D3030" s="2" t="s">
        <v>44</v>
      </c>
      <c r="E3030" s="5">
        <v>-30160</v>
      </c>
      <c r="F3030" s="3" t="s">
        <v>116</v>
      </c>
      <c r="G3030" s="3" t="s">
        <v>567</v>
      </c>
      <c r="H3030" s="2" t="s">
        <v>21</v>
      </c>
      <c r="I3030" s="2" t="s">
        <v>7227</v>
      </c>
      <c r="J3030" s="3" t="str">
        <f>HYPERLINK("https://www.boe.es/gazeta/dias/1817/06/03/pdfs/GMD-1817-66.pdf#page=6","Abrir facsímil")</f>
        <v>Abrir facsímil</v>
      </c>
      <c r="K3030" s="3" t="s">
        <v>23</v>
      </c>
    </row>
    <row r="3031" spans="1:11" ht="42" customHeight="1">
      <c r="A3031" s="2" t="s">
        <v>7225</v>
      </c>
      <c r="B3031" s="2" t="s">
        <v>7226</v>
      </c>
      <c r="C3031" s="2" t="s">
        <v>43</v>
      </c>
      <c r="D3031" s="2" t="s">
        <v>44</v>
      </c>
      <c r="E3031" s="5">
        <v>-30160</v>
      </c>
      <c r="F3031" s="3" t="s">
        <v>116</v>
      </c>
      <c r="G3031" s="3" t="s">
        <v>20</v>
      </c>
      <c r="H3031" s="2" t="s">
        <v>21</v>
      </c>
      <c r="I3031" s="2" t="s">
        <v>7228</v>
      </c>
      <c r="J3031" s="3" t="str">
        <f>HYPERLINK("https://www.boe.es/gazeta/dias/1817/06/03/pdfs/GMD-1817-66.pdf#page=7","Abrir facsímil")</f>
        <v>Abrir facsímil</v>
      </c>
      <c r="K3031" s="3" t="s">
        <v>23</v>
      </c>
    </row>
    <row r="3032" spans="1:11" ht="42" customHeight="1">
      <c r="A3032" s="2" t="s">
        <v>7229</v>
      </c>
      <c r="B3032" s="2" t="s">
        <v>7230</v>
      </c>
      <c r="C3032" s="2" t="s">
        <v>55</v>
      </c>
      <c r="D3032" s="2" t="s">
        <v>44</v>
      </c>
      <c r="E3032" s="5">
        <v>-30296</v>
      </c>
      <c r="F3032" s="3" t="s">
        <v>357</v>
      </c>
      <c r="G3032" s="3" t="s">
        <v>82</v>
      </c>
      <c r="H3032" s="2" t="s">
        <v>21</v>
      </c>
      <c r="I3032" s="2" t="s">
        <v>7231</v>
      </c>
      <c r="J3032" s="3" t="str">
        <f>HYPERLINK("https://www.boe.es/gazeta/dias/1817/01/18/pdfs/GMD-1817-8.pdf#page=12","Abrir facsímil")</f>
        <v>Abrir facsímil</v>
      </c>
      <c r="K3032" s="3" t="s">
        <v>23</v>
      </c>
    </row>
    <row r="3033" spans="1:11" ht="42" customHeight="1">
      <c r="A3033" s="2" t="s">
        <v>7232</v>
      </c>
      <c r="B3033" s="2" t="s">
        <v>7233</v>
      </c>
      <c r="C3033" s="2" t="s">
        <v>138</v>
      </c>
      <c r="D3033" s="2" t="s">
        <v>44</v>
      </c>
      <c r="E3033" s="5">
        <v>-30025</v>
      </c>
      <c r="F3033" s="3" t="s">
        <v>458</v>
      </c>
      <c r="G3033" s="3" t="s">
        <v>20</v>
      </c>
      <c r="H3033" s="2" t="s">
        <v>21</v>
      </c>
      <c r="I3033" s="2" t="s">
        <v>7234</v>
      </c>
      <c r="J3033" s="3" t="str">
        <f>HYPERLINK("https://www.boe.es/gazeta/dias/1817/10/16/pdfs/GMD-1817-124.pdf#page=7","Abrir facsímil")</f>
        <v>Abrir facsímil</v>
      </c>
      <c r="K3033" s="3" t="s">
        <v>23</v>
      </c>
    </row>
    <row r="3034" spans="1:11" ht="42" customHeight="1">
      <c r="A3034" s="2" t="s">
        <v>7232</v>
      </c>
      <c r="B3034" s="2" t="s">
        <v>7233</v>
      </c>
      <c r="C3034" s="2" t="s">
        <v>43</v>
      </c>
      <c r="D3034" s="2" t="s">
        <v>44</v>
      </c>
      <c r="E3034" s="5">
        <v>-29985</v>
      </c>
      <c r="F3034" s="3" t="s">
        <v>76</v>
      </c>
      <c r="G3034" s="3" t="s">
        <v>82</v>
      </c>
      <c r="H3034" s="2" t="s">
        <v>21</v>
      </c>
      <c r="I3034" s="2" t="s">
        <v>7235</v>
      </c>
      <c r="J3034" s="3" t="str">
        <f>HYPERLINK("https://www.boe.es/gazeta/dias/1817/11/25/pdfs/GMD-1817-141.pdf#page=12","Abrir facsímil")</f>
        <v>Abrir facsímil</v>
      </c>
      <c r="K3034" s="3" t="s">
        <v>23</v>
      </c>
    </row>
    <row r="3035" spans="1:11" ht="42" customHeight="1">
      <c r="A3035" s="2" t="s">
        <v>7236</v>
      </c>
      <c r="B3035" s="2" t="s">
        <v>7237</v>
      </c>
      <c r="C3035" s="2" t="s">
        <v>55</v>
      </c>
      <c r="D3035" s="2" t="s">
        <v>44</v>
      </c>
      <c r="E3035" s="5">
        <v>-29969</v>
      </c>
      <c r="F3035" s="3" t="s">
        <v>252</v>
      </c>
      <c r="G3035" s="3" t="s">
        <v>82</v>
      </c>
      <c r="H3035" s="2" t="s">
        <v>21</v>
      </c>
      <c r="I3035" s="2" t="s">
        <v>7238</v>
      </c>
      <c r="J3035" s="3" t="str">
        <f>HYPERLINK("https://www.boe.es/gazeta/dias/1817/12/11/pdfs/GMD-1817-148.pdf#page=12","Abrir facsímil")</f>
        <v>Abrir facsímil</v>
      </c>
      <c r="K3035" s="3" t="s">
        <v>23</v>
      </c>
    </row>
    <row r="3036" spans="1:11" ht="42" customHeight="1">
      <c r="A3036" s="2" t="s">
        <v>7239</v>
      </c>
      <c r="B3036" s="2" t="s">
        <v>7240</v>
      </c>
      <c r="C3036" s="2" t="s">
        <v>97</v>
      </c>
      <c r="D3036" s="2" t="s">
        <v>44</v>
      </c>
      <c r="E3036" s="5">
        <v>-29969</v>
      </c>
      <c r="F3036" s="3" t="s">
        <v>252</v>
      </c>
      <c r="G3036" s="3" t="s">
        <v>112</v>
      </c>
      <c r="H3036" s="2" t="s">
        <v>21</v>
      </c>
      <c r="I3036" s="2" t="s">
        <v>7241</v>
      </c>
      <c r="J3036" s="3" t="str">
        <f>HYPERLINK("https://www.boe.es/gazeta/dias/1817/12/11/pdfs/GMD-1817-148.pdf#page=11","Abrir facsímil")</f>
        <v>Abrir facsímil</v>
      </c>
      <c r="K3036" s="3" t="s">
        <v>23</v>
      </c>
    </row>
    <row r="3037" spans="1:11" ht="42" customHeight="1">
      <c r="A3037" s="2" t="s">
        <v>7242</v>
      </c>
      <c r="B3037" s="2" t="s">
        <v>7243</v>
      </c>
      <c r="C3037" s="2" t="s">
        <v>97</v>
      </c>
      <c r="D3037" s="2" t="s">
        <v>44</v>
      </c>
      <c r="E3037" s="5">
        <v>-30270</v>
      </c>
      <c r="F3037" s="3" t="s">
        <v>341</v>
      </c>
      <c r="G3037" s="3" t="s">
        <v>342</v>
      </c>
      <c r="H3037" s="2" t="s">
        <v>21</v>
      </c>
      <c r="I3037" s="2" t="s">
        <v>7244</v>
      </c>
      <c r="J3037" s="3" t="str">
        <f>HYPERLINK("https://www.boe.es/gazeta/dias/1817/02/13/pdfs/GMD-1817-19.pdf#page=8","Abrir facsímil")</f>
        <v>Abrir facsímil</v>
      </c>
      <c r="K3037" s="3" t="s">
        <v>23</v>
      </c>
    </row>
    <row r="3038" spans="1:11" ht="42" customHeight="1">
      <c r="A3038" s="2" t="s">
        <v>7245</v>
      </c>
      <c r="B3038" s="2" t="s">
        <v>7246</v>
      </c>
      <c r="C3038" s="2" t="s">
        <v>36</v>
      </c>
      <c r="D3038" s="2" t="s">
        <v>37</v>
      </c>
      <c r="E3038" s="5">
        <v>-29981</v>
      </c>
      <c r="F3038" s="3" t="s">
        <v>111</v>
      </c>
      <c r="G3038" s="3" t="s">
        <v>82</v>
      </c>
      <c r="H3038" s="2" t="s">
        <v>21</v>
      </c>
      <c r="I3038" s="2" t="s">
        <v>7247</v>
      </c>
      <c r="J3038" s="3" t="str">
        <f>HYPERLINK("https://www.boe.es/gazeta/dias/1817/11/29/pdfs/GMD-1817-143.pdf#page=12","Abrir facsímil")</f>
        <v>Abrir facsímil</v>
      </c>
      <c r="K3038" s="3" t="s">
        <v>23</v>
      </c>
    </row>
    <row r="3039" spans="1:11" ht="42" customHeight="1">
      <c r="A3039" s="2" t="s">
        <v>7248</v>
      </c>
      <c r="B3039" s="2" t="s">
        <v>7249</v>
      </c>
      <c r="C3039" s="2" t="s">
        <v>43</v>
      </c>
      <c r="D3039" s="2" t="s">
        <v>44</v>
      </c>
      <c r="E3039" s="5">
        <v>-30303</v>
      </c>
      <c r="F3039" s="3" t="s">
        <v>407</v>
      </c>
      <c r="G3039" s="3" t="s">
        <v>39</v>
      </c>
      <c r="H3039" s="2" t="s">
        <v>21</v>
      </c>
      <c r="I3039" s="2" t="s">
        <v>7250</v>
      </c>
      <c r="J3039" s="3" t="str">
        <f>HYPERLINK("https://www.boe.es/gazeta/dias/1817/01/11/pdfs/GMD-1817-5.pdf#page=5","Abrir facsímil")</f>
        <v>Abrir facsímil</v>
      </c>
      <c r="K3039" s="3" t="s">
        <v>23</v>
      </c>
    </row>
    <row r="3040" spans="1:11" ht="42" customHeight="1">
      <c r="A3040" s="2" t="s">
        <v>7248</v>
      </c>
      <c r="B3040" s="2" t="s">
        <v>7249</v>
      </c>
      <c r="C3040" s="2" t="s">
        <v>43</v>
      </c>
      <c r="D3040" s="2" t="s">
        <v>44</v>
      </c>
      <c r="E3040" s="5">
        <v>-30079</v>
      </c>
      <c r="F3040" s="3" t="s">
        <v>45</v>
      </c>
      <c r="G3040" s="3" t="s">
        <v>39</v>
      </c>
      <c r="H3040" s="2" t="s">
        <v>21</v>
      </c>
      <c r="I3040" s="2" t="s">
        <v>7251</v>
      </c>
      <c r="J3040" s="3" t="str">
        <f>HYPERLINK("https://www.boe.es/gazeta/dias/1817/08/23/pdfs/GMD-1817-101.pdf#page=5","Abrir facsímil")</f>
        <v>Abrir facsímil</v>
      </c>
      <c r="K3040" s="3" t="s">
        <v>23</v>
      </c>
    </row>
    <row r="3041" spans="1:11" ht="42" customHeight="1">
      <c r="A3041" s="2" t="s">
        <v>7252</v>
      </c>
      <c r="B3041" s="2" t="s">
        <v>7253</v>
      </c>
      <c r="C3041" s="2" t="s">
        <v>36</v>
      </c>
      <c r="D3041" s="2" t="s">
        <v>37</v>
      </c>
      <c r="E3041" s="5">
        <v>-30188</v>
      </c>
      <c r="F3041" s="3" t="s">
        <v>177</v>
      </c>
      <c r="G3041" s="3" t="s">
        <v>144</v>
      </c>
      <c r="H3041" s="2" t="s">
        <v>21</v>
      </c>
      <c r="I3041" s="2" t="s">
        <v>7254</v>
      </c>
      <c r="J3041" s="3" t="str">
        <f>HYPERLINK("https://www.boe.es/gazeta/dias/1817/05/06/pdfs/GMD-1817-54.pdf#page=4","Abrir facsímil")</f>
        <v>Abrir facsímil</v>
      </c>
      <c r="K3041" s="3" t="s">
        <v>23</v>
      </c>
    </row>
    <row r="3042" spans="1:11" ht="42" customHeight="1">
      <c r="A3042" s="2" t="s">
        <v>7255</v>
      </c>
      <c r="B3042" s="2" t="s">
        <v>7256</v>
      </c>
      <c r="C3042" s="2" t="s">
        <v>17</v>
      </c>
      <c r="D3042" s="2" t="s">
        <v>18</v>
      </c>
      <c r="E3042" s="5">
        <v>-30184</v>
      </c>
      <c r="F3042" s="3" t="s">
        <v>423</v>
      </c>
      <c r="G3042" s="3" t="s">
        <v>20</v>
      </c>
      <c r="H3042" s="2" t="s">
        <v>21</v>
      </c>
      <c r="I3042" s="2" t="s">
        <v>7257</v>
      </c>
      <c r="J3042" s="3" t="str">
        <f>HYPERLINK("https://www.boe.es/gazeta/dias/1817/05/10/pdfs/GMD-1817-56.pdf#page=7","Abrir facsímil")</f>
        <v>Abrir facsímil</v>
      </c>
      <c r="K3042" s="3" t="s">
        <v>23</v>
      </c>
    </row>
    <row r="3043" spans="1:11" ht="42" customHeight="1">
      <c r="A3043" s="2" t="s">
        <v>7255</v>
      </c>
      <c r="B3043" s="2" t="s">
        <v>7256</v>
      </c>
      <c r="C3043" s="2" t="s">
        <v>17</v>
      </c>
      <c r="D3043" s="2" t="s">
        <v>18</v>
      </c>
      <c r="E3043" s="5">
        <v>-30179</v>
      </c>
      <c r="F3043" s="3" t="s">
        <v>391</v>
      </c>
      <c r="G3043" s="3" t="s">
        <v>20</v>
      </c>
      <c r="H3043" s="2" t="s">
        <v>21</v>
      </c>
      <c r="I3043" s="2" t="s">
        <v>7258</v>
      </c>
      <c r="J3043" s="3" t="str">
        <f>HYPERLINK("https://www.boe.es/gazeta/dias/1817/05/15/pdfs/GMD-1817-58.pdf#page=7","Abrir facsímil")</f>
        <v>Abrir facsímil</v>
      </c>
      <c r="K3043" s="3" t="s">
        <v>23</v>
      </c>
    </row>
    <row r="3044" spans="1:11" ht="42" customHeight="1">
      <c r="A3044" s="2" t="s">
        <v>7255</v>
      </c>
      <c r="B3044" s="2" t="s">
        <v>7256</v>
      </c>
      <c r="C3044" s="2" t="s">
        <v>17</v>
      </c>
      <c r="D3044" s="2" t="s">
        <v>18</v>
      </c>
      <c r="E3044" s="5">
        <v>-30102</v>
      </c>
      <c r="F3044" s="3" t="s">
        <v>502</v>
      </c>
      <c r="G3044" s="3" t="s">
        <v>20</v>
      </c>
      <c r="H3044" s="2" t="s">
        <v>21</v>
      </c>
      <c r="I3044" s="2" t="s">
        <v>7259</v>
      </c>
      <c r="J3044" s="3" t="str">
        <f>HYPERLINK("https://www.boe.es/gazeta/dias/1817/07/31/pdfs/GMD-1817-91.pdf#page=7","Abrir facsímil")</f>
        <v>Abrir facsímil</v>
      </c>
      <c r="K3044" s="3" t="s">
        <v>23</v>
      </c>
    </row>
    <row r="3045" spans="1:11" ht="42" customHeight="1">
      <c r="A3045" s="2" t="s">
        <v>7260</v>
      </c>
      <c r="B3045" s="2" t="s">
        <v>7261</v>
      </c>
      <c r="C3045" s="2" t="s">
        <v>17</v>
      </c>
      <c r="D3045" s="2" t="s">
        <v>18</v>
      </c>
      <c r="E3045" s="5">
        <v>-29976</v>
      </c>
      <c r="F3045" s="3" t="s">
        <v>81</v>
      </c>
      <c r="G3045" s="3" t="s">
        <v>82</v>
      </c>
      <c r="H3045" s="2" t="s">
        <v>27</v>
      </c>
      <c r="I3045" s="2" t="s">
        <v>7262</v>
      </c>
      <c r="J3045" s="3" t="str">
        <f>HYPERLINK("https://www.boe.es/gazeta/dias/1817/12/04/pdfs/GMD-1817-145.pdf#page=12","Abrir facsímil")</f>
        <v>Abrir facsímil</v>
      </c>
      <c r="K3045" s="3" t="s">
        <v>29</v>
      </c>
    </row>
    <row r="3046" spans="1:11" ht="42" customHeight="1">
      <c r="A3046" s="2" t="s">
        <v>7263</v>
      </c>
      <c r="B3046" s="2" t="s">
        <v>7264</v>
      </c>
      <c r="C3046" s="2" t="s">
        <v>43</v>
      </c>
      <c r="D3046" s="2" t="s">
        <v>44</v>
      </c>
      <c r="E3046" s="5">
        <v>-30135</v>
      </c>
      <c r="F3046" s="3" t="s">
        <v>239</v>
      </c>
      <c r="G3046" s="3" t="s">
        <v>144</v>
      </c>
      <c r="H3046" s="2" t="s">
        <v>21</v>
      </c>
      <c r="I3046" s="2" t="s">
        <v>7265</v>
      </c>
      <c r="J3046" s="3" t="str">
        <f>HYPERLINK("https://www.boe.es/gazeta/dias/1817/06/28/pdfs/GMD-1817-77.pdf#page=4","Abrir facsímil")</f>
        <v>Abrir facsímil</v>
      </c>
      <c r="K3046" s="3" t="s">
        <v>23</v>
      </c>
    </row>
    <row r="3047" spans="1:11" ht="42" customHeight="1">
      <c r="A3047" s="2" t="s">
        <v>7266</v>
      </c>
      <c r="B3047" s="2" t="s">
        <v>7267</v>
      </c>
      <c r="C3047" s="2" t="s">
        <v>36</v>
      </c>
      <c r="D3047" s="2" t="s">
        <v>37</v>
      </c>
      <c r="E3047" s="5">
        <v>-30083</v>
      </c>
      <c r="F3047" s="3" t="s">
        <v>1273</v>
      </c>
      <c r="G3047" s="3" t="s">
        <v>77</v>
      </c>
      <c r="H3047" s="2" t="s">
        <v>21</v>
      </c>
      <c r="I3047" s="2" t="s">
        <v>7268</v>
      </c>
      <c r="J3047" s="3" t="str">
        <f>HYPERLINK("https://www.boe.es/gazeta/dias/1817/08/19/pdfs/GMD-1817-99.pdf#page=8","Abrir facsímil")</f>
        <v>Abrir facsímil</v>
      </c>
      <c r="K3047" s="3" t="s">
        <v>23</v>
      </c>
    </row>
    <row r="3048" spans="1:11" ht="42" customHeight="1">
      <c r="A3048" s="2" t="s">
        <v>7269</v>
      </c>
      <c r="B3048" s="2" t="s">
        <v>7270</v>
      </c>
      <c r="C3048" s="2" t="s">
        <v>36</v>
      </c>
      <c r="D3048" s="2" t="s">
        <v>37</v>
      </c>
      <c r="E3048" s="5">
        <v>-30104</v>
      </c>
      <c r="F3048" s="3" t="s">
        <v>856</v>
      </c>
      <c r="G3048" s="3" t="s">
        <v>20</v>
      </c>
      <c r="H3048" s="2" t="s">
        <v>21</v>
      </c>
      <c r="I3048" s="2" t="s">
        <v>7271</v>
      </c>
      <c r="J3048" s="3" t="str">
        <f>HYPERLINK("https://www.boe.es/gazeta/dias/1817/07/29/pdfs/GMD-1817-90.pdf#page=7","Abrir facsímil")</f>
        <v>Abrir facsímil</v>
      </c>
      <c r="K3048" s="3" t="s">
        <v>23</v>
      </c>
    </row>
    <row r="3049" spans="1:11" ht="42" customHeight="1">
      <c r="A3049" s="2" t="s">
        <v>7272</v>
      </c>
      <c r="B3049" s="2" t="s">
        <v>7273</v>
      </c>
      <c r="C3049" s="2" t="s">
        <v>43</v>
      </c>
      <c r="D3049" s="2" t="s">
        <v>44</v>
      </c>
      <c r="E3049" s="5">
        <v>-30265</v>
      </c>
      <c r="F3049" s="3" t="s">
        <v>107</v>
      </c>
      <c r="G3049" s="3" t="s">
        <v>4980</v>
      </c>
      <c r="H3049" s="2" t="s">
        <v>21</v>
      </c>
      <c r="I3049" s="2" t="s">
        <v>7274</v>
      </c>
      <c r="J3049" s="3" t="str">
        <f>HYPERLINK("https://www.boe.es/gazeta/dias/1817/02/18/pdfs/GMD-1817-21.pdf#page=4","Abrir facsímil")</f>
        <v>Abrir facsímil</v>
      </c>
      <c r="K3049" s="3" t="s">
        <v>23</v>
      </c>
    </row>
    <row r="3050" spans="1:11" ht="42" customHeight="1">
      <c r="A3050" s="2" t="s">
        <v>7275</v>
      </c>
      <c r="B3050" s="2" t="s">
        <v>7276</v>
      </c>
      <c r="C3050" s="2" t="s">
        <v>43</v>
      </c>
      <c r="D3050" s="2" t="s">
        <v>44</v>
      </c>
      <c r="E3050" s="5">
        <v>-30013</v>
      </c>
      <c r="F3050" s="3" t="s">
        <v>464</v>
      </c>
      <c r="G3050" s="3" t="s">
        <v>39</v>
      </c>
      <c r="H3050" s="2" t="s">
        <v>21</v>
      </c>
      <c r="I3050" s="2" t="s">
        <v>7277</v>
      </c>
      <c r="J3050" s="3" t="str">
        <f>HYPERLINK("https://www.boe.es/gazeta/dias/1817/10/28/pdfs/GMD-1817-129.pdf#page=5","Abrir facsímil")</f>
        <v>Abrir facsímil</v>
      </c>
      <c r="K3050" s="3" t="s">
        <v>23</v>
      </c>
    </row>
    <row r="3051" spans="1:11" ht="42" customHeight="1">
      <c r="A3051" s="2" t="s">
        <v>7275</v>
      </c>
      <c r="B3051" s="2" t="s">
        <v>7276</v>
      </c>
      <c r="C3051" s="2" t="s">
        <v>36</v>
      </c>
      <c r="D3051" s="2" t="s">
        <v>37</v>
      </c>
      <c r="E3051" s="5">
        <v>-30009</v>
      </c>
      <c r="F3051" s="3" t="s">
        <v>512</v>
      </c>
      <c r="G3051" s="3" t="s">
        <v>57</v>
      </c>
      <c r="H3051" s="2" t="s">
        <v>21</v>
      </c>
      <c r="I3051" s="2" t="s">
        <v>7278</v>
      </c>
      <c r="J3051" s="3" t="str">
        <f>HYPERLINK("https://www.boe.es/gazeta/dias/1817/11/01/pdfs/GMD-1817-131.pdf#page=6","Abrir facsímil")</f>
        <v>Abrir facsímil</v>
      </c>
      <c r="K3051" s="3" t="s">
        <v>23</v>
      </c>
    </row>
    <row r="3052" spans="1:11" ht="42" customHeight="1">
      <c r="A3052" s="2" t="s">
        <v>7279</v>
      </c>
      <c r="B3052" s="2" t="s">
        <v>7280</v>
      </c>
      <c r="C3052" s="2" t="s">
        <v>17</v>
      </c>
      <c r="D3052" s="2" t="s">
        <v>18</v>
      </c>
      <c r="E3052" s="5">
        <v>-30230</v>
      </c>
      <c r="F3052" s="3" t="s">
        <v>189</v>
      </c>
      <c r="G3052" s="3" t="s">
        <v>2911</v>
      </c>
      <c r="H3052" s="2" t="s">
        <v>21</v>
      </c>
      <c r="I3052" s="2" t="s">
        <v>7281</v>
      </c>
      <c r="J3052" s="3" t="str">
        <f>HYPERLINK("https://www.boe.es/gazeta/dias/1817/03/25/pdfs/GMD-1817-36.pdf#page=6","Abrir facsímil")</f>
        <v>Abrir facsímil</v>
      </c>
      <c r="K3052" s="3" t="s">
        <v>23</v>
      </c>
    </row>
    <row r="3053" spans="1:11" ht="42" customHeight="1">
      <c r="A3053" s="2" t="s">
        <v>7282</v>
      </c>
      <c r="B3053" s="2" t="s">
        <v>7282</v>
      </c>
      <c r="C3053" s="2" t="s">
        <v>36</v>
      </c>
      <c r="D3053" s="2" t="s">
        <v>37</v>
      </c>
      <c r="E3053" s="5">
        <v>-29953</v>
      </c>
      <c r="F3053" s="3" t="s">
        <v>793</v>
      </c>
      <c r="G3053" s="3" t="s">
        <v>72</v>
      </c>
      <c r="H3053" s="2" t="s">
        <v>21</v>
      </c>
      <c r="I3053" s="2" t="s">
        <v>7283</v>
      </c>
      <c r="J3053" s="3" t="str">
        <f>HYPERLINK("https://www.boe.es/gazeta/dias/1817/12/27/pdfs/GMD-1817-155.pdf#page=1","Abrir facsímil")</f>
        <v>Abrir facsímil</v>
      </c>
      <c r="K3053" s="3" t="s">
        <v>23</v>
      </c>
    </row>
    <row r="3054" spans="1:11" ht="42" customHeight="1">
      <c r="A3054" s="2" t="s">
        <v>7284</v>
      </c>
      <c r="B3054" s="2" t="s">
        <v>7285</v>
      </c>
      <c r="C3054" s="2" t="s">
        <v>36</v>
      </c>
      <c r="D3054" s="2" t="s">
        <v>37</v>
      </c>
      <c r="E3054" s="5">
        <v>-30296</v>
      </c>
      <c r="F3054" s="3" t="s">
        <v>357</v>
      </c>
      <c r="G3054" s="3" t="s">
        <v>112</v>
      </c>
      <c r="H3054" s="2" t="s">
        <v>21</v>
      </c>
      <c r="I3054" s="2" t="s">
        <v>7286</v>
      </c>
      <c r="J3054" s="3" t="str">
        <f>HYPERLINK("https://www.boe.es/gazeta/dias/1817/01/18/pdfs/GMD-1817-8.pdf#page=11","Abrir facsímil")</f>
        <v>Abrir facsímil</v>
      </c>
      <c r="K3054" s="3" t="s">
        <v>23</v>
      </c>
    </row>
    <row r="3055" spans="1:11" ht="42" customHeight="1">
      <c r="A3055" s="2" t="s">
        <v>7287</v>
      </c>
      <c r="B3055" s="2" t="s">
        <v>7288</v>
      </c>
      <c r="C3055" s="2" t="s">
        <v>36</v>
      </c>
      <c r="D3055" s="2" t="s">
        <v>37</v>
      </c>
      <c r="E3055" s="5">
        <v>-30142</v>
      </c>
      <c r="F3055" s="3" t="s">
        <v>286</v>
      </c>
      <c r="G3055" s="3" t="s">
        <v>57</v>
      </c>
      <c r="H3055" s="2" t="s">
        <v>21</v>
      </c>
      <c r="I3055" s="2" t="s">
        <v>7289</v>
      </c>
      <c r="J3055" s="3" t="str">
        <f>HYPERLINK("https://www.boe.es/gazeta/dias/1817/06/21/pdfs/GMD-1817-74.pdf#page=6","Abrir facsímil")</f>
        <v>Abrir facsímil</v>
      </c>
      <c r="K3055" s="3" t="s">
        <v>23</v>
      </c>
    </row>
    <row r="3056" spans="1:11" ht="42" customHeight="1">
      <c r="A3056" s="2" t="s">
        <v>7290</v>
      </c>
      <c r="B3056" s="2" t="s">
        <v>7291</v>
      </c>
      <c r="C3056" s="2" t="s">
        <v>36</v>
      </c>
      <c r="D3056" s="2" t="s">
        <v>37</v>
      </c>
      <c r="E3056" s="5">
        <v>-29988</v>
      </c>
      <c r="F3056" s="3" t="s">
        <v>569</v>
      </c>
      <c r="G3056" s="3" t="s">
        <v>144</v>
      </c>
      <c r="H3056" s="2" t="s">
        <v>21</v>
      </c>
      <c r="I3056" s="2" t="s">
        <v>7292</v>
      </c>
      <c r="J3056" s="3" t="str">
        <f>HYPERLINK("https://www.boe.es/gazeta/dias/1817/11/22/pdfs/GMD-1817-140.pdf#page=4","Abrir facsímil")</f>
        <v>Abrir facsímil</v>
      </c>
      <c r="K3056" s="3" t="s">
        <v>23</v>
      </c>
    </row>
    <row r="3057" spans="1:11" ht="42" customHeight="1">
      <c r="A3057" s="2" t="s">
        <v>7290</v>
      </c>
      <c r="B3057" s="2" t="s">
        <v>7291</v>
      </c>
      <c r="C3057" s="2" t="s">
        <v>36</v>
      </c>
      <c r="D3057" s="2" t="s">
        <v>37</v>
      </c>
      <c r="E3057" s="5">
        <v>-29969</v>
      </c>
      <c r="F3057" s="3" t="s">
        <v>252</v>
      </c>
      <c r="G3057" s="3" t="s">
        <v>887</v>
      </c>
      <c r="H3057" s="2" t="s">
        <v>21</v>
      </c>
      <c r="I3057" s="2" t="s">
        <v>7293</v>
      </c>
      <c r="J3057" s="3" t="str">
        <f>HYPERLINK("https://www.boe.es/gazeta/dias/1817/12/11/pdfs/GMD-1817-148.pdf#page=9","Abrir facsímil")</f>
        <v>Abrir facsímil</v>
      </c>
      <c r="K3057" s="3" t="s">
        <v>23</v>
      </c>
    </row>
    <row r="3058" spans="1:11" ht="42" customHeight="1">
      <c r="A3058" s="2" t="s">
        <v>7294</v>
      </c>
      <c r="B3058" s="2" t="s">
        <v>7294</v>
      </c>
      <c r="C3058" s="2" t="s">
        <v>36</v>
      </c>
      <c r="D3058" s="2" t="s">
        <v>37</v>
      </c>
      <c r="E3058" s="5">
        <v>-30209</v>
      </c>
      <c r="F3058" s="3" t="s">
        <v>1478</v>
      </c>
      <c r="G3058" s="3" t="s">
        <v>551</v>
      </c>
      <c r="H3058" s="2" t="s">
        <v>21</v>
      </c>
      <c r="I3058" s="2" t="s">
        <v>7295</v>
      </c>
      <c r="J3058" s="3" t="str">
        <f>HYPERLINK("https://www.boe.es/gazeta/dias/1817/04/15/pdfs/GMD-1817-45.pdf#page=3","Abrir facsímil")</f>
        <v>Abrir facsímil</v>
      </c>
      <c r="K3058" s="3" t="s">
        <v>23</v>
      </c>
    </row>
    <row r="3059" spans="1:11" ht="42" customHeight="1">
      <c r="A3059" s="2" t="s">
        <v>7296</v>
      </c>
      <c r="B3059" s="2" t="s">
        <v>7296</v>
      </c>
      <c r="C3059" s="2" t="s">
        <v>36</v>
      </c>
      <c r="D3059" s="2" t="s">
        <v>37</v>
      </c>
      <c r="E3059" s="5">
        <v>-30109</v>
      </c>
      <c r="F3059" s="3" t="s">
        <v>205</v>
      </c>
      <c r="G3059" s="3" t="s">
        <v>20</v>
      </c>
      <c r="H3059" s="2" t="s">
        <v>21</v>
      </c>
      <c r="I3059" s="2" t="s">
        <v>7297</v>
      </c>
      <c r="J3059" s="3" t="str">
        <f>HYPERLINK("https://www.boe.es/gazeta/dias/1817/07/24/pdfs/GMD-1817-88.pdf#page=7","Abrir facsímil")</f>
        <v>Abrir facsímil</v>
      </c>
      <c r="K3059" s="3" t="s">
        <v>23</v>
      </c>
    </row>
    <row r="3060" spans="1:11" ht="42" customHeight="1">
      <c r="A3060" s="2" t="s">
        <v>7298</v>
      </c>
      <c r="B3060" s="2" t="s">
        <v>7298</v>
      </c>
      <c r="C3060" s="2" t="s">
        <v>36</v>
      </c>
      <c r="D3060" s="2" t="s">
        <v>37</v>
      </c>
      <c r="E3060" s="5">
        <v>-29957</v>
      </c>
      <c r="F3060" s="3" t="s">
        <v>1001</v>
      </c>
      <c r="G3060" s="3" t="s">
        <v>551</v>
      </c>
      <c r="H3060" s="2" t="s">
        <v>21</v>
      </c>
      <c r="I3060" s="2" t="s">
        <v>7299</v>
      </c>
      <c r="J3060" s="3" t="str">
        <f>HYPERLINK("https://www.boe.es/gazeta/dias/1817/12/23/pdfs/GMD-1817-153.pdf#page=3","Abrir facsímil")</f>
        <v>Abrir facsímil</v>
      </c>
      <c r="K3060" s="3" t="s">
        <v>23</v>
      </c>
    </row>
    <row r="3061" spans="1:11" ht="42" customHeight="1">
      <c r="A3061" s="2" t="s">
        <v>7300</v>
      </c>
      <c r="B3061" s="2" t="s">
        <v>7300</v>
      </c>
      <c r="C3061" s="2" t="s">
        <v>36</v>
      </c>
      <c r="D3061" s="2" t="s">
        <v>37</v>
      </c>
      <c r="E3061" s="5">
        <v>-30156</v>
      </c>
      <c r="F3061" s="3" t="s">
        <v>635</v>
      </c>
      <c r="G3061" s="3" t="s">
        <v>144</v>
      </c>
      <c r="H3061" s="2" t="s">
        <v>21</v>
      </c>
      <c r="I3061" s="2" t="s">
        <v>7301</v>
      </c>
      <c r="J3061" s="3" t="str">
        <f>HYPERLINK("https://www.boe.es/gazeta/dias/1817/06/07/pdfs/GMD-1817-68.pdf#page=4","Abrir facsímil")</f>
        <v>Abrir facsímil</v>
      </c>
      <c r="K3061" s="3" t="s">
        <v>23</v>
      </c>
    </row>
    <row r="3062" spans="1:11" ht="42" customHeight="1">
      <c r="A3062" s="2" t="s">
        <v>7302</v>
      </c>
      <c r="B3062" s="2" t="s">
        <v>7302</v>
      </c>
      <c r="C3062" s="2" t="s">
        <v>97</v>
      </c>
      <c r="D3062" s="2" t="s">
        <v>44</v>
      </c>
      <c r="E3062" s="5">
        <v>-29990</v>
      </c>
      <c r="F3062" s="3" t="s">
        <v>542</v>
      </c>
      <c r="G3062" s="3" t="s">
        <v>551</v>
      </c>
      <c r="H3062" s="2" t="s">
        <v>21</v>
      </c>
      <c r="I3062" s="2" t="s">
        <v>7303</v>
      </c>
      <c r="J3062" s="3" t="str">
        <f>HYPERLINK("https://www.boe.es/gazeta/dias/1817/11/20/pdfs/GMD-1817-139.pdf#page=3","Abrir facsímil")</f>
        <v>Abrir facsímil</v>
      </c>
      <c r="K3062" s="3" t="s">
        <v>23</v>
      </c>
    </row>
    <row r="3063" spans="1:11" ht="42" customHeight="1">
      <c r="A3063" s="2" t="s">
        <v>7304</v>
      </c>
      <c r="B3063" s="2" t="s">
        <v>7304</v>
      </c>
      <c r="C3063" s="2" t="s">
        <v>55</v>
      </c>
      <c r="D3063" s="2" t="s">
        <v>44</v>
      </c>
      <c r="E3063" s="5">
        <v>-29990</v>
      </c>
      <c r="F3063" s="3" t="s">
        <v>542</v>
      </c>
      <c r="G3063" s="3" t="s">
        <v>551</v>
      </c>
      <c r="H3063" s="2" t="s">
        <v>21</v>
      </c>
      <c r="I3063" s="2" t="s">
        <v>7305</v>
      </c>
      <c r="J3063" s="3" t="str">
        <f>HYPERLINK("https://www.boe.es/gazeta/dias/1817/11/20/pdfs/GMD-1817-139.pdf#page=3","Abrir facsímil")</f>
        <v>Abrir facsímil</v>
      </c>
      <c r="K3063" s="3" t="s">
        <v>23</v>
      </c>
    </row>
    <row r="3064" spans="1:11" ht="42" customHeight="1">
      <c r="A3064" s="2" t="s">
        <v>7306</v>
      </c>
      <c r="B3064" s="2" t="s">
        <v>7307</v>
      </c>
      <c r="C3064" s="2" t="s">
        <v>43</v>
      </c>
      <c r="D3064" s="2" t="s">
        <v>44</v>
      </c>
      <c r="E3064" s="5">
        <v>-30303</v>
      </c>
      <c r="F3064" s="3" t="s">
        <v>407</v>
      </c>
      <c r="G3064" s="3" t="s">
        <v>39</v>
      </c>
      <c r="H3064" s="2" t="s">
        <v>27</v>
      </c>
      <c r="I3064" s="2" t="s">
        <v>7308</v>
      </c>
      <c r="J3064" s="3" t="str">
        <f>HYPERLINK("https://www.boe.es/gazeta/dias/1817/01/11/pdfs/GMD-1817-5.pdf#page=5","Abrir facsímil")</f>
        <v>Abrir facsímil</v>
      </c>
      <c r="K3064" s="3" t="s">
        <v>29</v>
      </c>
    </row>
    <row r="3065" spans="1:11" ht="42" customHeight="1">
      <c r="A3065" s="2" t="s">
        <v>7309</v>
      </c>
      <c r="B3065" s="2" t="s">
        <v>7310</v>
      </c>
      <c r="C3065" s="2" t="s">
        <v>36</v>
      </c>
      <c r="D3065" s="2" t="s">
        <v>37</v>
      </c>
      <c r="E3065" s="5">
        <v>-29997</v>
      </c>
      <c r="F3065" s="3" t="s">
        <v>652</v>
      </c>
      <c r="G3065" s="3" t="s">
        <v>144</v>
      </c>
      <c r="H3065" s="2" t="s">
        <v>21</v>
      </c>
      <c r="I3065" s="2" t="s">
        <v>7311</v>
      </c>
      <c r="J3065" s="3" t="str">
        <f>HYPERLINK("https://www.boe.es/gazeta/dias/1817/11/13/pdfs/GMD-1817-136.pdf#page=4","Abrir facsímil")</f>
        <v>Abrir facsímil</v>
      </c>
      <c r="K3065" s="3" t="s">
        <v>23</v>
      </c>
    </row>
    <row r="3066" spans="1:11" ht="42" customHeight="1">
      <c r="A3066" s="2" t="s">
        <v>7309</v>
      </c>
      <c r="B3066" s="2" t="s">
        <v>7310</v>
      </c>
      <c r="C3066" s="2" t="s">
        <v>36</v>
      </c>
      <c r="D3066" s="2" t="s">
        <v>37</v>
      </c>
      <c r="E3066" s="5">
        <v>-29950</v>
      </c>
      <c r="F3066" s="3" t="s">
        <v>185</v>
      </c>
      <c r="G3066" s="3" t="s">
        <v>20</v>
      </c>
      <c r="H3066" s="2" t="s">
        <v>21</v>
      </c>
      <c r="I3066" s="2" t="s">
        <v>7312</v>
      </c>
      <c r="J3066" s="3" t="str">
        <f>HYPERLINK("https://www.boe.es/gazeta/dias/1817/12/30/pdfs/GMD-1817-156.pdf#page=7","Abrir facsímil")</f>
        <v>Abrir facsímil</v>
      </c>
      <c r="K3066" s="3" t="s">
        <v>23</v>
      </c>
    </row>
    <row r="3067" spans="1:11" ht="42" customHeight="1">
      <c r="A3067" s="2" t="s">
        <v>7313</v>
      </c>
      <c r="B3067" s="2" t="s">
        <v>7314</v>
      </c>
      <c r="C3067" s="2" t="s">
        <v>43</v>
      </c>
      <c r="D3067" s="2" t="s">
        <v>44</v>
      </c>
      <c r="E3067" s="5">
        <v>-30027</v>
      </c>
      <c r="F3067" s="3" t="s">
        <v>173</v>
      </c>
      <c r="G3067" s="3" t="s">
        <v>77</v>
      </c>
      <c r="H3067" s="2" t="s">
        <v>21</v>
      </c>
      <c r="I3067" s="2" t="s">
        <v>7315</v>
      </c>
      <c r="J3067" s="3" t="str">
        <f>HYPERLINK("https://www.boe.es/gazeta/dias/1817/10/14/pdfs/GMD-1817-123.pdf#page=8","Abrir facsímil")</f>
        <v>Abrir facsímil</v>
      </c>
      <c r="K3067" s="3" t="s">
        <v>23</v>
      </c>
    </row>
    <row r="3068" spans="1:11" ht="42" customHeight="1">
      <c r="A3068" s="2" t="s">
        <v>7316</v>
      </c>
      <c r="B3068" s="2" t="s">
        <v>7316</v>
      </c>
      <c r="C3068" s="2" t="s">
        <v>36</v>
      </c>
      <c r="D3068" s="2" t="s">
        <v>37</v>
      </c>
      <c r="E3068" s="5">
        <v>-30258</v>
      </c>
      <c r="F3068" s="3" t="s">
        <v>234</v>
      </c>
      <c r="G3068" s="3" t="s">
        <v>72</v>
      </c>
      <c r="H3068" s="2" t="s">
        <v>21</v>
      </c>
      <c r="I3068" s="2" t="s">
        <v>7317</v>
      </c>
      <c r="J3068" s="3" t="str">
        <f>HYPERLINK("https://www.boe.es/gazeta/dias/1817/02/25/pdfs/GMD-1817-24.pdf#page=1","Abrir facsímil")</f>
        <v>Abrir facsímil</v>
      </c>
      <c r="K3068" s="3" t="s">
        <v>23</v>
      </c>
    </row>
    <row r="3069" spans="1:11" ht="42" customHeight="1">
      <c r="A3069" s="2" t="s">
        <v>7318</v>
      </c>
      <c r="B3069" s="2" t="s">
        <v>7319</v>
      </c>
      <c r="C3069" s="2" t="s">
        <v>17</v>
      </c>
      <c r="D3069" s="2" t="s">
        <v>18</v>
      </c>
      <c r="E3069" s="5">
        <v>-30053</v>
      </c>
      <c r="F3069" s="3" t="s">
        <v>129</v>
      </c>
      <c r="G3069" s="3" t="s">
        <v>7320</v>
      </c>
      <c r="H3069" s="2" t="s">
        <v>21</v>
      </c>
      <c r="I3069" s="2" t="s">
        <v>7321</v>
      </c>
      <c r="J3069" s="3" t="str">
        <f>HYPERLINK("https://www.boe.es/gazeta/dias/1817/09/18/pdfs/GMD-1817-112.pdf#page=2","Abrir facsímil")</f>
        <v>Abrir facsímil</v>
      </c>
      <c r="K3069" s="3" t="s">
        <v>23</v>
      </c>
    </row>
    <row r="3070" spans="1:11" ht="42" customHeight="1">
      <c r="A3070" s="2" t="s">
        <v>7322</v>
      </c>
      <c r="B3070" s="2" t="s">
        <v>7323</v>
      </c>
      <c r="C3070" s="2" t="s">
        <v>43</v>
      </c>
      <c r="D3070" s="2" t="s">
        <v>44</v>
      </c>
      <c r="E3070" s="5">
        <v>-30272</v>
      </c>
      <c r="F3070" s="3" t="s">
        <v>493</v>
      </c>
      <c r="G3070" s="3" t="s">
        <v>551</v>
      </c>
      <c r="H3070" s="2" t="s">
        <v>21</v>
      </c>
      <c r="I3070" s="2" t="s">
        <v>7324</v>
      </c>
      <c r="J3070" s="3" t="str">
        <f>HYPERLINK("https://www.boe.es/gazeta/dias/1817/02/11/pdfs/GMD-1817-18.pdf#page=3","Abrir facsímil")</f>
        <v>Abrir facsímil</v>
      </c>
      <c r="K3070" s="3" t="s">
        <v>23</v>
      </c>
    </row>
    <row r="3071" spans="1:11" ht="42" customHeight="1">
      <c r="A3071" s="2" t="s">
        <v>7325</v>
      </c>
      <c r="B3071" s="2" t="s">
        <v>7326</v>
      </c>
      <c r="C3071" s="2" t="s">
        <v>36</v>
      </c>
      <c r="D3071" s="2" t="s">
        <v>37</v>
      </c>
      <c r="E3071" s="5">
        <v>-30272</v>
      </c>
      <c r="F3071" s="3" t="s">
        <v>493</v>
      </c>
      <c r="G3071" s="3" t="s">
        <v>39</v>
      </c>
      <c r="H3071" s="2" t="s">
        <v>21</v>
      </c>
      <c r="I3071" s="2" t="s">
        <v>7327</v>
      </c>
      <c r="J3071" s="3" t="str">
        <f>HYPERLINK("https://www.boe.es/gazeta/dias/1817/02/11/pdfs/GMD-1817-18.pdf#page=5","Abrir facsímil")</f>
        <v>Abrir facsímil</v>
      </c>
      <c r="K3071" s="3" t="s">
        <v>23</v>
      </c>
    </row>
    <row r="3072" spans="1:11" ht="42" customHeight="1">
      <c r="A3072" s="2" t="s">
        <v>7328</v>
      </c>
      <c r="B3072" s="2" t="s">
        <v>7329</v>
      </c>
      <c r="C3072" s="2" t="s">
        <v>43</v>
      </c>
      <c r="D3072" s="2" t="s">
        <v>44</v>
      </c>
      <c r="E3072" s="5">
        <v>-29983</v>
      </c>
      <c r="F3072" s="3" t="s">
        <v>148</v>
      </c>
      <c r="G3072" s="3" t="s">
        <v>654</v>
      </c>
      <c r="H3072" s="2" t="s">
        <v>21</v>
      </c>
      <c r="I3072" s="2" t="s">
        <v>7330</v>
      </c>
      <c r="J3072" s="3" t="str">
        <f>HYPERLINK("https://www.boe.es/gazeta/dias/1817/11/27/pdfs/GMD-1817-142.pdf#page=4","Abrir facsímil")</f>
        <v>Abrir facsímil</v>
      </c>
      <c r="K3072" s="3" t="s">
        <v>23</v>
      </c>
    </row>
    <row r="3073" spans="1:11" ht="42" customHeight="1">
      <c r="A3073" s="2" t="s">
        <v>7331</v>
      </c>
      <c r="B3073" s="2" t="s">
        <v>7332</v>
      </c>
      <c r="C3073" s="2" t="s">
        <v>17</v>
      </c>
      <c r="D3073" s="2" t="s">
        <v>18</v>
      </c>
      <c r="E3073" s="5">
        <v>-30284</v>
      </c>
      <c r="F3073" s="3" t="s">
        <v>741</v>
      </c>
      <c r="G3073" s="3" t="s">
        <v>77</v>
      </c>
      <c r="H3073" s="2" t="s">
        <v>21</v>
      </c>
      <c r="I3073" s="2" t="s">
        <v>7333</v>
      </c>
      <c r="J3073" s="3" t="str">
        <f>HYPERLINK("https://www.boe.es/gazeta/dias/1817/01/30/pdfs/GMD-1817-13.pdf#page=8","Abrir facsímil")</f>
        <v>Abrir facsímil</v>
      </c>
      <c r="K3073" s="3" t="s">
        <v>23</v>
      </c>
    </row>
    <row r="3074" spans="1:11" ht="42" customHeight="1">
      <c r="A3074" s="2" t="s">
        <v>7331</v>
      </c>
      <c r="B3074" s="2" t="s">
        <v>7332</v>
      </c>
      <c r="C3074" s="2" t="s">
        <v>17</v>
      </c>
      <c r="D3074" s="2" t="s">
        <v>18</v>
      </c>
      <c r="E3074" s="5">
        <v>-30177</v>
      </c>
      <c r="F3074" s="3" t="s">
        <v>633</v>
      </c>
      <c r="G3074" s="3" t="s">
        <v>77</v>
      </c>
      <c r="H3074" s="2" t="s">
        <v>21</v>
      </c>
      <c r="I3074" s="2" t="s">
        <v>7334</v>
      </c>
      <c r="J3074" s="3" t="str">
        <f>HYPERLINK("https://www.boe.es/gazeta/dias/1817/05/17/pdfs/GMD-1817-59.pdf#page=8","Abrir facsímil")</f>
        <v>Abrir facsímil</v>
      </c>
      <c r="K3074" s="3" t="s">
        <v>23</v>
      </c>
    </row>
    <row r="3075" spans="1:11" ht="42" customHeight="1">
      <c r="A3075" s="2" t="s">
        <v>7331</v>
      </c>
      <c r="B3075" s="2" t="s">
        <v>7332</v>
      </c>
      <c r="C3075" s="2" t="s">
        <v>17</v>
      </c>
      <c r="D3075" s="2" t="s">
        <v>18</v>
      </c>
      <c r="E3075" s="5">
        <v>-30111</v>
      </c>
      <c r="F3075" s="3" t="s">
        <v>1017</v>
      </c>
      <c r="G3075" s="3" t="s">
        <v>57</v>
      </c>
      <c r="H3075" s="2" t="s">
        <v>21</v>
      </c>
      <c r="I3075" s="2" t="s">
        <v>7335</v>
      </c>
      <c r="J3075" s="3" t="str">
        <f>HYPERLINK("https://www.boe.es/gazeta/dias/1817/07/22/pdfs/GMD-1817-87.pdf#page=6","Abrir facsímil")</f>
        <v>Abrir facsímil</v>
      </c>
      <c r="K3075" s="3" t="s">
        <v>23</v>
      </c>
    </row>
    <row r="3076" spans="1:11" ht="42" customHeight="1">
      <c r="A3076" s="2" t="s">
        <v>7336</v>
      </c>
      <c r="B3076" s="2" t="s">
        <v>7337</v>
      </c>
      <c r="C3076" s="2" t="s">
        <v>36</v>
      </c>
      <c r="D3076" s="2" t="s">
        <v>37</v>
      </c>
      <c r="E3076" s="5">
        <v>-30109</v>
      </c>
      <c r="F3076" s="3" t="s">
        <v>205</v>
      </c>
      <c r="G3076" s="3" t="s">
        <v>282</v>
      </c>
      <c r="H3076" s="2" t="s">
        <v>21</v>
      </c>
      <c r="I3076" s="2" t="s">
        <v>7338</v>
      </c>
      <c r="J3076" s="3" t="str">
        <f>HYPERLINK("https://www.boe.es/gazeta/dias/1817/07/24/pdfs/GMD-1817-88.pdf#page=15","Abrir facsímil")</f>
        <v>Abrir facsímil</v>
      </c>
      <c r="K3076" s="3" t="s">
        <v>23</v>
      </c>
    </row>
    <row r="3077" spans="1:11" ht="42" customHeight="1">
      <c r="A3077" s="2" t="s">
        <v>7339</v>
      </c>
      <c r="B3077" s="2" t="s">
        <v>7340</v>
      </c>
      <c r="C3077" s="2" t="s">
        <v>17</v>
      </c>
      <c r="D3077" s="2" t="s">
        <v>18</v>
      </c>
      <c r="E3077" s="5">
        <v>-30030</v>
      </c>
      <c r="F3077" s="3" t="s">
        <v>508</v>
      </c>
      <c r="G3077" s="3" t="s">
        <v>82</v>
      </c>
      <c r="H3077" s="2" t="s">
        <v>21</v>
      </c>
      <c r="I3077" s="2" t="s">
        <v>7341</v>
      </c>
      <c r="J3077" s="3" t="str">
        <f>HYPERLINK("https://www.boe.es/gazeta/dias/1817/10/11/pdfs/GMD-1817-122.pdf#page=12","Abrir facsímil")</f>
        <v>Abrir facsímil</v>
      </c>
      <c r="K3077" s="3" t="s">
        <v>23</v>
      </c>
    </row>
    <row r="3078" spans="1:11" ht="42" customHeight="1">
      <c r="A3078" s="2" t="s">
        <v>7342</v>
      </c>
      <c r="B3078" s="2" t="s">
        <v>7343</v>
      </c>
      <c r="C3078" s="2" t="s">
        <v>55</v>
      </c>
      <c r="D3078" s="2" t="s">
        <v>44</v>
      </c>
      <c r="E3078" s="5">
        <v>-30254</v>
      </c>
      <c r="F3078" s="3" t="s">
        <v>124</v>
      </c>
      <c r="G3078" s="3" t="s">
        <v>125</v>
      </c>
      <c r="H3078" s="2" t="s">
        <v>21</v>
      </c>
      <c r="I3078" s="2" t="s">
        <v>7344</v>
      </c>
      <c r="J3078" s="3" t="str">
        <f>HYPERLINK("https://www.boe.es/gazeta/dias/1817/03/01/pdfs/GMD-1817-26.pdf#page=5","Abrir facsímil")</f>
        <v>Abrir facsímil</v>
      </c>
      <c r="K3078" s="3" t="s">
        <v>23</v>
      </c>
    </row>
    <row r="3079" spans="1:11" ht="42" customHeight="1">
      <c r="A3079" s="2" t="s">
        <v>7345</v>
      </c>
      <c r="B3079" s="2" t="s">
        <v>7346</v>
      </c>
      <c r="C3079" s="2" t="s">
        <v>36</v>
      </c>
      <c r="D3079" s="2" t="s">
        <v>37</v>
      </c>
      <c r="E3079" s="5">
        <v>-30009</v>
      </c>
      <c r="F3079" s="3" t="s">
        <v>512</v>
      </c>
      <c r="G3079" s="3" t="s">
        <v>144</v>
      </c>
      <c r="H3079" s="2" t="s">
        <v>21</v>
      </c>
      <c r="I3079" s="2" t="s">
        <v>7347</v>
      </c>
      <c r="J3079" s="3" t="str">
        <f>HYPERLINK("https://www.boe.es/gazeta/dias/1817/11/01/pdfs/GMD-1817-131.pdf#page=4","Abrir facsímil")</f>
        <v>Abrir facsímil</v>
      </c>
      <c r="K3079" s="3" t="s">
        <v>23</v>
      </c>
    </row>
    <row r="3080" spans="1:11" ht="42" customHeight="1">
      <c r="A3080" s="2" t="s">
        <v>7348</v>
      </c>
      <c r="B3080" s="2" t="s">
        <v>7349</v>
      </c>
      <c r="C3080" s="2" t="s">
        <v>43</v>
      </c>
      <c r="D3080" s="2" t="s">
        <v>44</v>
      </c>
      <c r="E3080" s="5">
        <v>-30228</v>
      </c>
      <c r="F3080" s="3" t="s">
        <v>383</v>
      </c>
      <c r="G3080" s="3" t="s">
        <v>57</v>
      </c>
      <c r="H3080" s="2" t="s">
        <v>21</v>
      </c>
      <c r="I3080" s="2" t="s">
        <v>7350</v>
      </c>
      <c r="J3080" s="3" t="str">
        <f>HYPERLINK("https://www.boe.es/gazeta/dias/1817/03/27/pdfs/GMD-1817-37.pdf#page=6","Abrir facsímil")</f>
        <v>Abrir facsímil</v>
      </c>
      <c r="K3080" s="3" t="s">
        <v>23</v>
      </c>
    </row>
    <row r="3081" spans="1:11" ht="42" customHeight="1">
      <c r="A3081" s="2" t="s">
        <v>7351</v>
      </c>
      <c r="B3081" s="2" t="s">
        <v>7352</v>
      </c>
      <c r="C3081" s="2" t="s">
        <v>36</v>
      </c>
      <c r="D3081" s="2" t="s">
        <v>37</v>
      </c>
      <c r="E3081" s="5">
        <v>-30307</v>
      </c>
      <c r="F3081" s="3" t="s">
        <v>67</v>
      </c>
      <c r="G3081" s="3" t="s">
        <v>68</v>
      </c>
      <c r="H3081" s="2" t="s">
        <v>21</v>
      </c>
      <c r="I3081" s="2" t="s">
        <v>7353</v>
      </c>
      <c r="J3081" s="3" t="str">
        <f>HYPERLINK("https://www.boe.es/gazeta/dias/1817/01/07/pdfs/GMD-1817-3.pdf#page=8","Abrir facsímil")</f>
        <v>Abrir facsímil</v>
      </c>
      <c r="K3081" s="3" t="s">
        <v>23</v>
      </c>
    </row>
    <row r="3082" spans="1:11" ht="42" customHeight="1">
      <c r="A3082" s="2" t="s">
        <v>7354</v>
      </c>
      <c r="B3082" s="2" t="s">
        <v>7355</v>
      </c>
      <c r="C3082" s="2" t="s">
        <v>36</v>
      </c>
      <c r="D3082" s="2" t="s">
        <v>37</v>
      </c>
      <c r="E3082" s="5">
        <v>-30081</v>
      </c>
      <c r="F3082" s="3" t="s">
        <v>133</v>
      </c>
      <c r="G3082" s="3" t="s">
        <v>82</v>
      </c>
      <c r="H3082" s="2" t="s">
        <v>21</v>
      </c>
      <c r="I3082" s="2" t="s">
        <v>7356</v>
      </c>
      <c r="J3082" s="3" t="str">
        <f>HYPERLINK("https://www.boe.es/gazeta/dias/1817/08/21/pdfs/GMD-1817-100.pdf#page=12","Abrir facsímil")</f>
        <v>Abrir facsímil</v>
      </c>
      <c r="K3082" s="3" t="s">
        <v>23</v>
      </c>
    </row>
    <row r="3083" spans="1:11" ht="42" customHeight="1">
      <c r="A3083" s="2" t="s">
        <v>7357</v>
      </c>
      <c r="B3083" s="2" t="s">
        <v>7358</v>
      </c>
      <c r="C3083" s="2" t="s">
        <v>55</v>
      </c>
      <c r="D3083" s="2" t="s">
        <v>44</v>
      </c>
      <c r="E3083" s="5">
        <v>-30284</v>
      </c>
      <c r="F3083" s="3" t="s">
        <v>741</v>
      </c>
      <c r="G3083" s="3" t="s">
        <v>77</v>
      </c>
      <c r="H3083" s="2" t="s">
        <v>21</v>
      </c>
      <c r="I3083" s="2" t="s">
        <v>7359</v>
      </c>
      <c r="J3083" s="3" t="str">
        <f>HYPERLINK("https://www.boe.es/gazeta/dias/1817/01/30/pdfs/GMD-1817-13.pdf#page=8","Abrir facsímil")</f>
        <v>Abrir facsímil</v>
      </c>
      <c r="K3083" s="3" t="s">
        <v>23</v>
      </c>
    </row>
    <row r="3084" spans="1:11" ht="42" customHeight="1">
      <c r="A3084" s="2" t="s">
        <v>7360</v>
      </c>
      <c r="B3084" s="2" t="s">
        <v>7361</v>
      </c>
      <c r="C3084" s="2" t="s">
        <v>138</v>
      </c>
      <c r="D3084" s="2" t="s">
        <v>44</v>
      </c>
      <c r="E3084" s="5">
        <v>-30016</v>
      </c>
      <c r="F3084" s="3" t="s">
        <v>2582</v>
      </c>
      <c r="G3084" s="3" t="s">
        <v>77</v>
      </c>
      <c r="H3084" s="2" t="s">
        <v>21</v>
      </c>
      <c r="I3084" s="2" t="s">
        <v>7362</v>
      </c>
      <c r="J3084" s="3" t="str">
        <f>HYPERLINK("https://www.boe.es/gazeta/dias/1817/10/25/pdfs/GMD-1817-128.pdf#page=8","Abrir facsímil")</f>
        <v>Abrir facsímil</v>
      </c>
      <c r="K3084" s="3" t="s">
        <v>23</v>
      </c>
    </row>
    <row r="3085" spans="1:11" ht="42" customHeight="1">
      <c r="A3085" s="2" t="s">
        <v>7363</v>
      </c>
      <c r="B3085" s="2" t="s">
        <v>7364</v>
      </c>
      <c r="C3085" s="2" t="s">
        <v>17</v>
      </c>
      <c r="D3085" s="2" t="s">
        <v>18</v>
      </c>
      <c r="E3085" s="5">
        <v>-30312</v>
      </c>
      <c r="F3085" s="3" t="s">
        <v>86</v>
      </c>
      <c r="G3085" s="3" t="s">
        <v>20</v>
      </c>
      <c r="H3085" s="2" t="s">
        <v>21</v>
      </c>
      <c r="I3085" s="2" t="s">
        <v>7365</v>
      </c>
      <c r="J3085" s="3" t="str">
        <f>HYPERLINK("https://www.boe.es/gazeta/dias/1817/01/02/pdfs/GMD-1817-1.pdf#page=7","Abrir facsímil")</f>
        <v>Abrir facsímil</v>
      </c>
      <c r="K3085" s="3" t="s">
        <v>23</v>
      </c>
    </row>
    <row r="3086" spans="1:11" ht="42" customHeight="1">
      <c r="A3086" s="2" t="s">
        <v>7366</v>
      </c>
      <c r="B3086" s="2" t="s">
        <v>7366</v>
      </c>
      <c r="C3086" s="2" t="s">
        <v>17</v>
      </c>
      <c r="D3086" s="2" t="s">
        <v>18</v>
      </c>
      <c r="E3086" s="5">
        <v>-30104</v>
      </c>
      <c r="F3086" s="3" t="s">
        <v>856</v>
      </c>
      <c r="G3086" s="3" t="s">
        <v>20</v>
      </c>
      <c r="H3086" s="2" t="s">
        <v>21</v>
      </c>
      <c r="I3086" s="2" t="s">
        <v>7367</v>
      </c>
      <c r="J3086" s="3" t="str">
        <f>HYPERLINK("https://www.boe.es/gazeta/dias/1817/07/29/pdfs/GMD-1817-90.pdf#page=7","Abrir facsímil")</f>
        <v>Abrir facsímil</v>
      </c>
      <c r="K3086" s="3" t="s">
        <v>23</v>
      </c>
    </row>
    <row r="3087" spans="1:11" ht="42" customHeight="1">
      <c r="A3087" s="2" t="s">
        <v>7368</v>
      </c>
      <c r="B3087" s="2" t="s">
        <v>7369</v>
      </c>
      <c r="C3087" s="2" t="s">
        <v>17</v>
      </c>
      <c r="D3087" s="2" t="s">
        <v>18</v>
      </c>
      <c r="E3087" s="5">
        <v>-30296</v>
      </c>
      <c r="F3087" s="3" t="s">
        <v>357</v>
      </c>
      <c r="G3087" s="3" t="s">
        <v>7370</v>
      </c>
      <c r="H3087" s="2" t="s">
        <v>21</v>
      </c>
      <c r="I3087" s="2" t="s">
        <v>7371</v>
      </c>
      <c r="J3087" s="3" t="str">
        <f>HYPERLINK("https://www.boe.es/gazeta/dias/1817/01/18/pdfs/GMD-1817-8.pdf#page=8","Abrir facsímil")</f>
        <v>Abrir facsímil</v>
      </c>
      <c r="K3087" s="3" t="s">
        <v>23</v>
      </c>
    </row>
    <row r="3088" spans="1:11" ht="42" customHeight="1">
      <c r="A3088" s="2" t="s">
        <v>7372</v>
      </c>
      <c r="B3088" s="2" t="s">
        <v>7373</v>
      </c>
      <c r="C3088" s="2" t="s">
        <v>36</v>
      </c>
      <c r="D3088" s="2" t="s">
        <v>37</v>
      </c>
      <c r="E3088" s="5">
        <v>-30282</v>
      </c>
      <c r="F3088" s="3" t="s">
        <v>1049</v>
      </c>
      <c r="G3088" s="3" t="s">
        <v>57</v>
      </c>
      <c r="H3088" s="2" t="s">
        <v>21</v>
      </c>
      <c r="I3088" s="2" t="s">
        <v>7374</v>
      </c>
      <c r="J3088" s="3" t="str">
        <f>HYPERLINK("https://www.boe.es/gazeta/dias/1817/02/01/pdfs/GMD-1817-14.pdf#page=6","Abrir facsímil")</f>
        <v>Abrir facsímil</v>
      </c>
      <c r="K3088" s="3" t="s">
        <v>23</v>
      </c>
    </row>
    <row r="3089" spans="1:11" ht="42" customHeight="1">
      <c r="A3089" s="2" t="s">
        <v>7372</v>
      </c>
      <c r="B3089" s="2" t="s">
        <v>7373</v>
      </c>
      <c r="C3089" s="2" t="s">
        <v>17</v>
      </c>
      <c r="D3089" s="2" t="s">
        <v>18</v>
      </c>
      <c r="E3089" s="5">
        <v>-30163</v>
      </c>
      <c r="F3089" s="3" t="s">
        <v>166</v>
      </c>
      <c r="G3089" s="3" t="s">
        <v>20</v>
      </c>
      <c r="H3089" s="2" t="s">
        <v>21</v>
      </c>
      <c r="I3089" s="2" t="s">
        <v>7375</v>
      </c>
      <c r="J3089" s="3" t="str">
        <f>HYPERLINK("https://www.boe.es/gazeta/dias/1817/05/31/pdfs/GMD-1817-65.pdf#page=7","Abrir facsímil")</f>
        <v>Abrir facsímil</v>
      </c>
      <c r="K3089" s="3" t="s">
        <v>23</v>
      </c>
    </row>
    <row r="3090" spans="1:11" ht="42" customHeight="1">
      <c r="A3090" s="2" t="s">
        <v>7372</v>
      </c>
      <c r="B3090" s="2" t="s">
        <v>7373</v>
      </c>
      <c r="C3090" s="2" t="s">
        <v>36</v>
      </c>
      <c r="D3090" s="2" t="s">
        <v>37</v>
      </c>
      <c r="E3090" s="5">
        <v>-29997</v>
      </c>
      <c r="F3090" s="3" t="s">
        <v>652</v>
      </c>
      <c r="G3090" s="3" t="s">
        <v>1541</v>
      </c>
      <c r="H3090" s="2" t="s">
        <v>21</v>
      </c>
      <c r="I3090" s="2" t="s">
        <v>7376</v>
      </c>
      <c r="J3090" s="3" t="str">
        <f>HYPERLINK("https://www.boe.es/gazeta/dias/1817/11/13/pdfs/GMD-1817-136.pdf#page=9","Abrir facsímil")</f>
        <v>Abrir facsímil</v>
      </c>
      <c r="K3090" s="3" t="s">
        <v>23</v>
      </c>
    </row>
    <row r="3091" spans="1:11" ht="42" customHeight="1">
      <c r="A3091" s="2" t="s">
        <v>7377</v>
      </c>
      <c r="B3091" s="2" t="s">
        <v>7378</v>
      </c>
      <c r="C3091" s="2" t="s">
        <v>17</v>
      </c>
      <c r="D3091" s="2" t="s">
        <v>18</v>
      </c>
      <c r="E3091" s="5">
        <v>-29953</v>
      </c>
      <c r="F3091" s="3" t="s">
        <v>793</v>
      </c>
      <c r="G3091" s="3" t="s">
        <v>794</v>
      </c>
      <c r="H3091" s="2" t="s">
        <v>21</v>
      </c>
      <c r="I3091" s="2" t="s">
        <v>7379</v>
      </c>
      <c r="J3091" s="3" t="str">
        <f>HYPERLINK("https://www.boe.es/gazeta/dias/1817/12/27/pdfs/GMD-1817-155.pdf#page=8","Abrir facsímil")</f>
        <v>Abrir facsímil</v>
      </c>
      <c r="K3091" s="3" t="s">
        <v>23</v>
      </c>
    </row>
    <row r="3092" spans="1:11" ht="42" customHeight="1">
      <c r="A3092" s="2" t="s">
        <v>7380</v>
      </c>
      <c r="B3092" s="2" t="s">
        <v>7381</v>
      </c>
      <c r="C3092" s="2" t="s">
        <v>36</v>
      </c>
      <c r="D3092" s="2" t="s">
        <v>37</v>
      </c>
      <c r="E3092" s="5">
        <v>-30279</v>
      </c>
      <c r="F3092" s="3" t="s">
        <v>1113</v>
      </c>
      <c r="G3092" s="3" t="s">
        <v>39</v>
      </c>
      <c r="H3092" s="2" t="s">
        <v>27</v>
      </c>
      <c r="I3092" s="2" t="s">
        <v>7382</v>
      </c>
      <c r="J3092" s="3" t="str">
        <f>HYPERLINK("https://www.boe.es/gazeta/dias/1817/02/04/pdfs/GMD-1817-15.pdf#page=5","Abrir facsímil")</f>
        <v>Abrir facsímil</v>
      </c>
      <c r="K3092" s="3" t="s">
        <v>29</v>
      </c>
    </row>
    <row r="3093" spans="1:11" ht="42" customHeight="1">
      <c r="A3093" s="2" t="s">
        <v>7380</v>
      </c>
      <c r="B3093" s="2" t="s">
        <v>7381</v>
      </c>
      <c r="C3093" s="2" t="s">
        <v>36</v>
      </c>
      <c r="D3093" s="2" t="s">
        <v>37</v>
      </c>
      <c r="E3093" s="5">
        <v>-30142</v>
      </c>
      <c r="F3093" s="3" t="s">
        <v>286</v>
      </c>
      <c r="G3093" s="3" t="s">
        <v>39</v>
      </c>
      <c r="H3093" s="2" t="s">
        <v>27</v>
      </c>
      <c r="I3093" s="2" t="s">
        <v>7383</v>
      </c>
      <c r="J3093" s="3" t="str">
        <f>HYPERLINK("https://www.boe.es/gazeta/dias/1817/06/21/pdfs/GMD-1817-74.pdf#page=5","Abrir facsímil")</f>
        <v>Abrir facsímil</v>
      </c>
      <c r="K3093" s="3" t="s">
        <v>29</v>
      </c>
    </row>
    <row r="3094" spans="1:11" ht="42" customHeight="1">
      <c r="A3094" s="2" t="s">
        <v>7380</v>
      </c>
      <c r="B3094" s="2" t="s">
        <v>7381</v>
      </c>
      <c r="C3094" s="2" t="s">
        <v>17</v>
      </c>
      <c r="D3094" s="2" t="s">
        <v>18</v>
      </c>
      <c r="E3094" s="5">
        <v>-30109</v>
      </c>
      <c r="F3094" s="3" t="s">
        <v>205</v>
      </c>
      <c r="G3094" s="3" t="s">
        <v>4046</v>
      </c>
      <c r="H3094" s="2" t="s">
        <v>27</v>
      </c>
      <c r="I3094" s="2" t="s">
        <v>7384</v>
      </c>
      <c r="J3094" s="3" t="str">
        <f>HYPERLINK("https://www.boe.es/gazeta/dias/1817/07/24/pdfs/GMD-1817-88.pdf#page=6","Abrir facsímil")</f>
        <v>Abrir facsímil</v>
      </c>
      <c r="K3094" s="3" t="s">
        <v>29</v>
      </c>
    </row>
    <row r="3095" spans="1:11" ht="42" customHeight="1">
      <c r="A3095" s="2" t="s">
        <v>7380</v>
      </c>
      <c r="B3095" s="2" t="s">
        <v>7381</v>
      </c>
      <c r="C3095" s="2" t="s">
        <v>17</v>
      </c>
      <c r="D3095" s="2" t="s">
        <v>18</v>
      </c>
      <c r="E3095" s="5">
        <v>-30104</v>
      </c>
      <c r="F3095" s="3" t="s">
        <v>856</v>
      </c>
      <c r="G3095" s="3" t="s">
        <v>20</v>
      </c>
      <c r="H3095" s="2" t="s">
        <v>27</v>
      </c>
      <c r="I3095" s="2" t="s">
        <v>7385</v>
      </c>
      <c r="J3095" s="3" t="str">
        <f>HYPERLINK("https://www.boe.es/gazeta/dias/1817/07/29/pdfs/GMD-1817-90.pdf#page=7","Abrir facsímil")</f>
        <v>Abrir facsímil</v>
      </c>
      <c r="K3095" s="3" t="s">
        <v>29</v>
      </c>
    </row>
    <row r="3096" spans="1:11" ht="42" customHeight="1">
      <c r="A3096" s="2" t="s">
        <v>7380</v>
      </c>
      <c r="B3096" s="2" t="s">
        <v>7381</v>
      </c>
      <c r="C3096" s="2" t="s">
        <v>17</v>
      </c>
      <c r="D3096" s="2" t="s">
        <v>18</v>
      </c>
      <c r="E3096" s="5">
        <v>-29978</v>
      </c>
      <c r="F3096" s="3" t="s">
        <v>478</v>
      </c>
      <c r="G3096" s="3" t="s">
        <v>314</v>
      </c>
      <c r="H3096" s="2" t="s">
        <v>27</v>
      </c>
      <c r="I3096" s="2" t="s">
        <v>7386</v>
      </c>
      <c r="J3096" s="3" t="str">
        <f>HYPERLINK("https://www.boe.es/gazeta/dias/1817/12/02/pdfs/GMD-1817-144.pdf#page=10","Abrir facsímil")</f>
        <v>Abrir facsímil</v>
      </c>
      <c r="K3096" s="3" t="s">
        <v>29</v>
      </c>
    </row>
    <row r="3097" spans="1:11" ht="42" customHeight="1">
      <c r="A3097" s="2" t="s">
        <v>7380</v>
      </c>
      <c r="B3097" s="2" t="s">
        <v>7381</v>
      </c>
      <c r="C3097" s="2" t="s">
        <v>17</v>
      </c>
      <c r="D3097" s="2" t="s">
        <v>18</v>
      </c>
      <c r="E3097" s="5">
        <v>-29957</v>
      </c>
      <c r="F3097" s="3" t="s">
        <v>1001</v>
      </c>
      <c r="G3097" s="3" t="s">
        <v>57</v>
      </c>
      <c r="H3097" s="2" t="s">
        <v>27</v>
      </c>
      <c r="I3097" s="2" t="s">
        <v>7387</v>
      </c>
      <c r="J3097" s="3" t="str">
        <f>HYPERLINK("https://www.boe.es/gazeta/dias/1817/12/23/pdfs/GMD-1817-153.pdf#page=6","Abrir facsímil")</f>
        <v>Abrir facsímil</v>
      </c>
      <c r="K3097" s="3" t="s">
        <v>29</v>
      </c>
    </row>
    <row r="3098" spans="1:11" ht="42" customHeight="1">
      <c r="A3098" s="2" t="s">
        <v>7388</v>
      </c>
      <c r="B3098" s="2" t="s">
        <v>7389</v>
      </c>
      <c r="C3098" s="2" t="s">
        <v>17</v>
      </c>
      <c r="D3098" s="2" t="s">
        <v>18</v>
      </c>
      <c r="E3098" s="5">
        <v>-30065</v>
      </c>
      <c r="F3098" s="3" t="s">
        <v>201</v>
      </c>
      <c r="G3098" s="3" t="s">
        <v>4554</v>
      </c>
      <c r="H3098" s="2" t="s">
        <v>27</v>
      </c>
      <c r="I3098" s="2" t="s">
        <v>7390</v>
      </c>
      <c r="J3098" s="3" t="str">
        <f>HYPERLINK("https://www.boe.es/gazeta/dias/1817/09/06/pdfs/GMD-1817-107.pdf#page=5","Abrir facsímil")</f>
        <v>Abrir facsímil</v>
      </c>
      <c r="K3098" s="3" t="s">
        <v>29</v>
      </c>
    </row>
    <row r="3099" spans="1:11" ht="42" customHeight="1">
      <c r="A3099" s="2" t="s">
        <v>7391</v>
      </c>
      <c r="B3099" s="2" t="s">
        <v>7392</v>
      </c>
      <c r="C3099" s="2" t="s">
        <v>36</v>
      </c>
      <c r="D3099" s="2" t="s">
        <v>37</v>
      </c>
      <c r="E3099" s="5">
        <v>-30062</v>
      </c>
      <c r="F3099" s="3" t="s">
        <v>444</v>
      </c>
      <c r="G3099" s="3" t="s">
        <v>691</v>
      </c>
      <c r="H3099" s="2" t="s">
        <v>21</v>
      </c>
      <c r="I3099" s="2" t="s">
        <v>7393</v>
      </c>
      <c r="J3099" s="3" t="str">
        <f>HYPERLINK("https://www.boe.es/gazeta/dias/1817/09/09/pdfs/GMD-1817-108.pdf#page=8","Abrir facsímil")</f>
        <v>Abrir facsímil</v>
      </c>
      <c r="K3099" s="3" t="s">
        <v>23</v>
      </c>
    </row>
    <row r="3100" spans="1:11" ht="42" customHeight="1">
      <c r="A3100" s="2" t="s">
        <v>7394</v>
      </c>
      <c r="B3100" s="2" t="s">
        <v>7394</v>
      </c>
      <c r="C3100" s="2" t="s">
        <v>43</v>
      </c>
      <c r="D3100" s="2" t="s">
        <v>44</v>
      </c>
      <c r="E3100" s="5">
        <v>-30233</v>
      </c>
      <c r="F3100" s="3" t="s">
        <v>577</v>
      </c>
      <c r="G3100" s="3" t="s">
        <v>551</v>
      </c>
      <c r="H3100" s="2" t="s">
        <v>21</v>
      </c>
      <c r="I3100" s="2" t="s">
        <v>7395</v>
      </c>
      <c r="J3100" s="3" t="str">
        <f>HYPERLINK("https://www.boe.es/gazeta/dias/1817/03/22/pdfs/GMD-1817-35.pdf#page=3","Abrir facsímil")</f>
        <v>Abrir facsímil</v>
      </c>
      <c r="K3100" s="3" t="s">
        <v>23</v>
      </c>
    </row>
    <row r="3101" spans="1:11" ht="42" customHeight="1">
      <c r="A3101" s="2" t="s">
        <v>7396</v>
      </c>
      <c r="B3101" s="2" t="s">
        <v>7397</v>
      </c>
      <c r="C3101" s="2" t="s">
        <v>36</v>
      </c>
      <c r="D3101" s="2" t="s">
        <v>37</v>
      </c>
      <c r="E3101" s="5">
        <v>-30296</v>
      </c>
      <c r="F3101" s="3" t="s">
        <v>357</v>
      </c>
      <c r="G3101" s="3" t="s">
        <v>112</v>
      </c>
      <c r="H3101" s="2" t="s">
        <v>21</v>
      </c>
      <c r="I3101" s="2" t="s">
        <v>7398</v>
      </c>
      <c r="J3101" s="3" t="str">
        <f>HYPERLINK("https://www.boe.es/gazeta/dias/1817/01/18/pdfs/GMD-1817-8.pdf#page=11","Abrir facsímil")</f>
        <v>Abrir facsímil</v>
      </c>
      <c r="K3101" s="3" t="s">
        <v>23</v>
      </c>
    </row>
    <row r="3102" spans="1:11" ht="42" customHeight="1">
      <c r="A3102" s="2" t="s">
        <v>7399</v>
      </c>
      <c r="B3102" s="2" t="s">
        <v>7400</v>
      </c>
      <c r="C3102" s="2" t="s">
        <v>36</v>
      </c>
      <c r="D3102" s="2" t="s">
        <v>37</v>
      </c>
      <c r="E3102" s="5">
        <v>-30289</v>
      </c>
      <c r="F3102" s="3" t="s">
        <v>193</v>
      </c>
      <c r="G3102" s="3" t="s">
        <v>144</v>
      </c>
      <c r="H3102" s="2" t="s">
        <v>21</v>
      </c>
      <c r="I3102" s="2" t="s">
        <v>7401</v>
      </c>
      <c r="J3102" s="3" t="str">
        <f>HYPERLINK("https://www.boe.es/gazeta/dias/1817/01/25/pdfs/GMD-1817-11.pdf#page=4","Abrir facsímil")</f>
        <v>Abrir facsímil</v>
      </c>
      <c r="K3102" s="3" t="s">
        <v>23</v>
      </c>
    </row>
    <row r="3103" spans="1:11" ht="42" customHeight="1">
      <c r="A3103" s="2" t="s">
        <v>7402</v>
      </c>
      <c r="B3103" s="2" t="s">
        <v>7403</v>
      </c>
      <c r="C3103" s="2" t="s">
        <v>17</v>
      </c>
      <c r="D3103" s="2" t="s">
        <v>18</v>
      </c>
      <c r="E3103" s="5">
        <v>-30174</v>
      </c>
      <c r="F3103" s="3" t="s">
        <v>19</v>
      </c>
      <c r="G3103" s="3" t="s">
        <v>6767</v>
      </c>
      <c r="H3103" s="2" t="s">
        <v>21</v>
      </c>
      <c r="I3103" s="2" t="s">
        <v>7404</v>
      </c>
      <c r="J3103" s="3" t="str">
        <f>HYPERLINK("https://www.boe.es/gazeta/dias/1817/05/20/pdfs/GMD-1817-60.pdf#page=8","Abrir facsímil")</f>
        <v>Abrir facsímil</v>
      </c>
      <c r="K3103" s="3" t="s">
        <v>23</v>
      </c>
    </row>
    <row r="3104" spans="1:11" ht="42" customHeight="1">
      <c r="A3104" s="2" t="s">
        <v>7405</v>
      </c>
      <c r="B3104" s="2" t="s">
        <v>7405</v>
      </c>
      <c r="C3104" s="2" t="s">
        <v>55</v>
      </c>
      <c r="D3104" s="2" t="s">
        <v>44</v>
      </c>
      <c r="E3104" s="5">
        <v>-30205</v>
      </c>
      <c r="F3104" s="3" t="s">
        <v>139</v>
      </c>
      <c r="G3104" s="3" t="s">
        <v>39</v>
      </c>
      <c r="H3104" s="2" t="s">
        <v>21</v>
      </c>
      <c r="I3104" s="2" t="s">
        <v>7406</v>
      </c>
      <c r="J3104" s="3" t="str">
        <f>HYPERLINK("https://www.boe.es/gazeta/dias/1817/04/19/pdfs/GMD-1817-47.pdf#page=5","Abrir facsímil")</f>
        <v>Abrir facsímil</v>
      </c>
      <c r="K3104" s="3" t="s">
        <v>23</v>
      </c>
    </row>
    <row r="3105" spans="1:11" ht="42" customHeight="1">
      <c r="A3105" s="2" t="s">
        <v>7407</v>
      </c>
      <c r="B3105" s="2" t="s">
        <v>7408</v>
      </c>
      <c r="C3105" s="2" t="s">
        <v>510</v>
      </c>
      <c r="D3105" s="2" t="s">
        <v>44</v>
      </c>
      <c r="E3105" s="5">
        <v>-30272</v>
      </c>
      <c r="F3105" s="3" t="s">
        <v>493</v>
      </c>
      <c r="G3105" s="3" t="s">
        <v>629</v>
      </c>
      <c r="H3105" s="2" t="s">
        <v>27</v>
      </c>
      <c r="I3105" s="2" t="s">
        <v>7409</v>
      </c>
      <c r="J3105" s="3" t="str">
        <f>HYPERLINK("https://www.boe.es/gazeta/dias/1817/02/11/pdfs/GMD-1817-18.pdf#page=2","Abrir facsímil")</f>
        <v>Abrir facsímil</v>
      </c>
      <c r="K3105" s="3" t="s">
        <v>29</v>
      </c>
    </row>
    <row r="3106" spans="1:11" ht="42" customHeight="1">
      <c r="A3106" s="2" t="s">
        <v>7410</v>
      </c>
      <c r="B3106" s="2" t="s">
        <v>7411</v>
      </c>
      <c r="C3106" s="2" t="s">
        <v>36</v>
      </c>
      <c r="D3106" s="2" t="s">
        <v>37</v>
      </c>
      <c r="E3106" s="5">
        <v>-30069</v>
      </c>
      <c r="F3106" s="3" t="s">
        <v>817</v>
      </c>
      <c r="G3106" s="3" t="s">
        <v>144</v>
      </c>
      <c r="H3106" s="2" t="s">
        <v>21</v>
      </c>
      <c r="I3106" s="2" t="s">
        <v>7412</v>
      </c>
      <c r="J3106" s="3" t="str">
        <f>HYPERLINK("https://www.boe.es/gazeta/dias/1817/09/02/pdfs/GMD-1817-105.pdf#page=4","Abrir facsímil")</f>
        <v>Abrir facsímil</v>
      </c>
      <c r="K3106" s="3" t="s">
        <v>23</v>
      </c>
    </row>
    <row r="3107" spans="1:11" ht="42" customHeight="1">
      <c r="A3107" s="2" t="s">
        <v>7413</v>
      </c>
      <c r="B3107" s="2" t="s">
        <v>7413</v>
      </c>
      <c r="C3107" s="2" t="s">
        <v>55</v>
      </c>
      <c r="D3107" s="2" t="s">
        <v>44</v>
      </c>
      <c r="E3107" s="5">
        <v>-30107</v>
      </c>
      <c r="F3107" s="3" t="s">
        <v>307</v>
      </c>
      <c r="G3107" s="3" t="s">
        <v>39</v>
      </c>
      <c r="H3107" s="2" t="s">
        <v>21</v>
      </c>
      <c r="I3107" s="2" t="s">
        <v>7414</v>
      </c>
      <c r="J3107" s="3" t="str">
        <f>HYPERLINK("https://www.boe.es/gazeta/dias/1817/07/26/pdfs/GMD-1817-89.pdf#page=5","Abrir facsímil")</f>
        <v>Abrir facsímil</v>
      </c>
      <c r="K3107" s="3" t="s">
        <v>23</v>
      </c>
    </row>
    <row r="3108" spans="1:11" ht="42" customHeight="1">
      <c r="A3108" s="2" t="s">
        <v>7415</v>
      </c>
      <c r="B3108" s="2" t="s">
        <v>7416</v>
      </c>
      <c r="C3108" s="2" t="s">
        <v>36</v>
      </c>
      <c r="D3108" s="2" t="s">
        <v>37</v>
      </c>
      <c r="E3108" s="5">
        <v>-29997</v>
      </c>
      <c r="F3108" s="3" t="s">
        <v>652</v>
      </c>
      <c r="G3108" s="3" t="s">
        <v>72</v>
      </c>
      <c r="H3108" s="2" t="s">
        <v>21</v>
      </c>
      <c r="I3108" s="2" t="s">
        <v>7417</v>
      </c>
      <c r="J3108" s="3" t="str">
        <f>HYPERLINK("https://www.boe.es/gazeta/dias/1817/11/13/pdfs/GMD-1817-136.pdf#page=1","Abrir facsímil")</f>
        <v>Abrir facsímil</v>
      </c>
      <c r="K3108" s="3" t="s">
        <v>23</v>
      </c>
    </row>
    <row r="3109" spans="1:11" ht="42" customHeight="1">
      <c r="A3109" s="2" t="s">
        <v>7418</v>
      </c>
      <c r="B3109" s="2" t="s">
        <v>7419</v>
      </c>
      <c r="C3109" s="2" t="s">
        <v>17</v>
      </c>
      <c r="D3109" s="2" t="s">
        <v>18</v>
      </c>
      <c r="E3109" s="5">
        <v>-29985</v>
      </c>
      <c r="F3109" s="3" t="s">
        <v>76</v>
      </c>
      <c r="G3109" s="3" t="s">
        <v>112</v>
      </c>
      <c r="H3109" s="2" t="s">
        <v>27</v>
      </c>
      <c r="I3109" s="2" t="s">
        <v>7420</v>
      </c>
      <c r="J3109" s="3" t="str">
        <f>HYPERLINK("https://www.boe.es/gazeta/dias/1817/11/25/pdfs/GMD-1817-141.pdf#page=11","Abrir facsímil")</f>
        <v>Abrir facsímil</v>
      </c>
      <c r="K3109" s="3" t="s">
        <v>29</v>
      </c>
    </row>
    <row r="3110" spans="1:11" ht="42" customHeight="1">
      <c r="A3110" s="2" t="s">
        <v>7421</v>
      </c>
      <c r="B3110" s="2" t="s">
        <v>7422</v>
      </c>
      <c r="C3110" s="2" t="s">
        <v>36</v>
      </c>
      <c r="D3110" s="2" t="s">
        <v>37</v>
      </c>
      <c r="E3110" s="5">
        <v>-30179</v>
      </c>
      <c r="F3110" s="3" t="s">
        <v>391</v>
      </c>
      <c r="G3110" s="3" t="s">
        <v>77</v>
      </c>
      <c r="H3110" s="2" t="s">
        <v>21</v>
      </c>
      <c r="I3110" s="2" t="s">
        <v>7423</v>
      </c>
      <c r="J3110" s="3" t="str">
        <f>HYPERLINK("https://www.boe.es/gazeta/dias/1817/05/15/pdfs/GMD-1817-58.pdf#page=8","Abrir facsímil")</f>
        <v>Abrir facsímil</v>
      </c>
      <c r="K3110" s="3" t="s">
        <v>23</v>
      </c>
    </row>
    <row r="3111" spans="1:11" ht="42" customHeight="1">
      <c r="A3111" s="2" t="s">
        <v>7424</v>
      </c>
      <c r="B3111" s="2" t="s">
        <v>7425</v>
      </c>
      <c r="C3111" s="2" t="s">
        <v>49</v>
      </c>
      <c r="D3111" s="2" t="s">
        <v>44</v>
      </c>
      <c r="E3111" s="5">
        <v>-29990</v>
      </c>
      <c r="F3111" s="3" t="s">
        <v>542</v>
      </c>
      <c r="G3111" s="3" t="s">
        <v>77</v>
      </c>
      <c r="H3111" s="2" t="s">
        <v>27</v>
      </c>
      <c r="I3111" s="2" t="s">
        <v>7426</v>
      </c>
      <c r="J3111" s="3" t="str">
        <f>HYPERLINK("https://www.boe.es/gazeta/dias/1817/11/20/pdfs/GMD-1817-139.pdf#page=8","Abrir facsímil")</f>
        <v>Abrir facsímil</v>
      </c>
      <c r="K3111" s="3" t="s">
        <v>29</v>
      </c>
    </row>
    <row r="3112" spans="1:11" ht="42" customHeight="1">
      <c r="A3112" s="2" t="s">
        <v>7427</v>
      </c>
      <c r="B3112" s="2" t="s">
        <v>7427</v>
      </c>
      <c r="C3112" s="2" t="s">
        <v>36</v>
      </c>
      <c r="D3112" s="2" t="s">
        <v>37</v>
      </c>
      <c r="E3112" s="5">
        <v>-30237</v>
      </c>
      <c r="F3112" s="3" t="s">
        <v>56</v>
      </c>
      <c r="G3112" s="3" t="s">
        <v>7428</v>
      </c>
      <c r="H3112" s="2" t="s">
        <v>21</v>
      </c>
      <c r="I3112" s="2" t="s">
        <v>7429</v>
      </c>
      <c r="J3112" s="3" t="str">
        <f>HYPERLINK("https://www.boe.es/gazeta/dias/1817/03/18/pdfs/GMD-1817-33.pdf#page=3","Abrir facsímil")</f>
        <v>Abrir facsímil</v>
      </c>
      <c r="K3112" s="3" t="s">
        <v>23</v>
      </c>
    </row>
    <row r="3113" spans="1:11" ht="42" customHeight="1">
      <c r="A3113" s="2" t="s">
        <v>7430</v>
      </c>
      <c r="B3113" s="2" t="s">
        <v>7430</v>
      </c>
      <c r="C3113" s="2" t="s">
        <v>17</v>
      </c>
      <c r="D3113" s="2" t="s">
        <v>18</v>
      </c>
      <c r="E3113" s="5">
        <v>-29971</v>
      </c>
      <c r="F3113" s="3" t="s">
        <v>517</v>
      </c>
      <c r="G3113" s="3" t="s">
        <v>551</v>
      </c>
      <c r="H3113" s="2" t="s">
        <v>21</v>
      </c>
      <c r="I3113" s="2" t="s">
        <v>7431</v>
      </c>
      <c r="J3113" s="3" t="str">
        <f>HYPERLINK("https://www.boe.es/gazeta/dias/1817/12/09/pdfs/GMD-1817-147.pdf#page=3","Abrir facsímil")</f>
        <v>Abrir facsímil</v>
      </c>
      <c r="K3113" s="3" t="s">
        <v>23</v>
      </c>
    </row>
    <row r="3114" spans="1:11" ht="42" customHeight="1">
      <c r="A3114" s="2" t="s">
        <v>7432</v>
      </c>
      <c r="B3114" s="2" t="s">
        <v>7433</v>
      </c>
      <c r="C3114" s="2" t="s">
        <v>36</v>
      </c>
      <c r="D3114" s="2" t="s">
        <v>37</v>
      </c>
      <c r="E3114" s="5">
        <v>-30109</v>
      </c>
      <c r="F3114" s="3" t="s">
        <v>205</v>
      </c>
      <c r="G3114" s="3" t="s">
        <v>4046</v>
      </c>
      <c r="H3114" s="2" t="s">
        <v>21</v>
      </c>
      <c r="I3114" s="2" t="s">
        <v>7434</v>
      </c>
      <c r="J3114" s="3" t="str">
        <f>HYPERLINK("https://www.boe.es/gazeta/dias/1817/07/24/pdfs/GMD-1817-88.pdf#page=6","Abrir facsímil")</f>
        <v>Abrir facsímil</v>
      </c>
      <c r="K3114" s="3" t="s">
        <v>23</v>
      </c>
    </row>
    <row r="3115" spans="1:11" ht="42" customHeight="1">
      <c r="A3115" s="2" t="s">
        <v>7435</v>
      </c>
      <c r="B3115" s="2" t="s">
        <v>7436</v>
      </c>
      <c r="C3115" s="2" t="s">
        <v>55</v>
      </c>
      <c r="D3115" s="2" t="s">
        <v>44</v>
      </c>
      <c r="E3115" s="5">
        <v>-30296</v>
      </c>
      <c r="F3115" s="3" t="s">
        <v>357</v>
      </c>
      <c r="G3115" s="3" t="s">
        <v>82</v>
      </c>
      <c r="H3115" s="2" t="s">
        <v>21</v>
      </c>
      <c r="I3115" s="2" t="s">
        <v>7437</v>
      </c>
      <c r="J3115" s="3" t="str">
        <f>HYPERLINK("https://www.boe.es/gazeta/dias/1817/01/18/pdfs/GMD-1817-8.pdf#page=12","Abrir facsímil")</f>
        <v>Abrir facsímil</v>
      </c>
      <c r="K3115" s="3" t="s">
        <v>23</v>
      </c>
    </row>
    <row r="3116" spans="1:11" ht="42" customHeight="1">
      <c r="A3116" s="2" t="s">
        <v>7438</v>
      </c>
      <c r="B3116" s="2" t="s">
        <v>7439</v>
      </c>
      <c r="C3116" s="2" t="s">
        <v>17</v>
      </c>
      <c r="D3116" s="2" t="s">
        <v>18</v>
      </c>
      <c r="E3116" s="5">
        <v>-30181</v>
      </c>
      <c r="F3116" s="3" t="s">
        <v>3337</v>
      </c>
      <c r="G3116" s="3" t="s">
        <v>4311</v>
      </c>
      <c r="H3116" s="2" t="s">
        <v>21</v>
      </c>
      <c r="I3116" s="2" t="s">
        <v>7440</v>
      </c>
      <c r="J3116" s="3" t="str">
        <f>HYPERLINK("https://www.boe.es/gazeta/dias/1817/05/13/pdfs/GMD-1817-57.pdf#page=8","Abrir facsímil")</f>
        <v>Abrir facsímil</v>
      </c>
      <c r="K3116" s="3" t="s">
        <v>23</v>
      </c>
    </row>
    <row r="3117" spans="1:11" ht="42" customHeight="1">
      <c r="A3117" s="2" t="s">
        <v>7441</v>
      </c>
      <c r="B3117" s="2" t="s">
        <v>7442</v>
      </c>
      <c r="C3117" s="2" t="s">
        <v>138</v>
      </c>
      <c r="D3117" s="2" t="s">
        <v>44</v>
      </c>
      <c r="E3117" s="5">
        <v>-30048</v>
      </c>
      <c r="F3117" s="3" t="s">
        <v>573</v>
      </c>
      <c r="G3117" s="3" t="s">
        <v>77</v>
      </c>
      <c r="H3117" s="2" t="s">
        <v>27</v>
      </c>
      <c r="I3117" s="2" t="s">
        <v>7443</v>
      </c>
      <c r="J3117" s="3" t="str">
        <f>HYPERLINK("https://www.boe.es/gazeta/dias/1817/09/23/pdfs/GMD-1817-114.pdf#page=8","Abrir facsímil")</f>
        <v>Abrir facsímil</v>
      </c>
      <c r="K3117" s="3" t="s">
        <v>29</v>
      </c>
    </row>
    <row r="3118" spans="1:11" ht="42" customHeight="1">
      <c r="A3118" s="2" t="s">
        <v>7444</v>
      </c>
      <c r="B3118" s="2" t="s">
        <v>7445</v>
      </c>
      <c r="C3118" s="2" t="s">
        <v>36</v>
      </c>
      <c r="D3118" s="2" t="s">
        <v>37</v>
      </c>
      <c r="E3118" s="5">
        <v>-30137</v>
      </c>
      <c r="F3118" s="3" t="s">
        <v>935</v>
      </c>
      <c r="G3118" s="3" t="s">
        <v>72</v>
      </c>
      <c r="H3118" s="2" t="s">
        <v>21</v>
      </c>
      <c r="I3118" s="2" t="s">
        <v>7446</v>
      </c>
      <c r="J3118" s="3" t="str">
        <f>HYPERLINK("https://www.boe.es/gazeta/dias/1817/06/26/pdfs/GMD-1817-76.pdf#page=1","Abrir facsímil")</f>
        <v>Abrir facsímil</v>
      </c>
      <c r="K3118" s="3" t="s">
        <v>23</v>
      </c>
    </row>
    <row r="3119" spans="1:11" ht="42" customHeight="1">
      <c r="A3119" s="2" t="s">
        <v>7447</v>
      </c>
      <c r="B3119" s="2" t="s">
        <v>7448</v>
      </c>
      <c r="C3119" s="2" t="s">
        <v>36</v>
      </c>
      <c r="D3119" s="2" t="s">
        <v>37</v>
      </c>
      <c r="E3119" s="5">
        <v>-30097</v>
      </c>
      <c r="F3119" s="3" t="s">
        <v>156</v>
      </c>
      <c r="G3119" s="3" t="s">
        <v>2493</v>
      </c>
      <c r="H3119" s="2" t="s">
        <v>21</v>
      </c>
      <c r="I3119" s="2" t="s">
        <v>7449</v>
      </c>
      <c r="J3119" s="3" t="str">
        <f>HYPERLINK("https://www.boe.es/gazeta/dias/1817/08/05/pdfs/GMD-1817-93.pdf#page=8","Abrir facsímil")</f>
        <v>Abrir facsímil</v>
      </c>
      <c r="K3119" s="3" t="s">
        <v>23</v>
      </c>
    </row>
    <row r="3120" spans="1:11" ht="42" customHeight="1">
      <c r="A3120" s="2" t="s">
        <v>7447</v>
      </c>
      <c r="B3120" s="2" t="s">
        <v>7448</v>
      </c>
      <c r="C3120" s="2" t="s">
        <v>17</v>
      </c>
      <c r="D3120" s="2" t="s">
        <v>18</v>
      </c>
      <c r="E3120" s="5">
        <v>-30088</v>
      </c>
      <c r="F3120" s="3" t="s">
        <v>244</v>
      </c>
      <c r="G3120" s="3" t="s">
        <v>245</v>
      </c>
      <c r="H3120" s="2" t="s">
        <v>21</v>
      </c>
      <c r="I3120" s="2" t="s">
        <v>7450</v>
      </c>
      <c r="J3120" s="3" t="str">
        <f>HYPERLINK("https://www.boe.es/gazeta/dias/1817/08/14/pdfs/GMD-1817-97.pdf#page=8","Abrir facsímil")</f>
        <v>Abrir facsímil</v>
      </c>
      <c r="K3120" s="3" t="s">
        <v>23</v>
      </c>
    </row>
    <row r="3121" spans="1:11" ht="42" customHeight="1">
      <c r="A3121" s="2" t="s">
        <v>7447</v>
      </c>
      <c r="B3121" s="2" t="s">
        <v>7448</v>
      </c>
      <c r="C3121" s="2" t="s">
        <v>36</v>
      </c>
      <c r="D3121" s="2" t="s">
        <v>37</v>
      </c>
      <c r="E3121" s="5">
        <v>-30086</v>
      </c>
      <c r="F3121" s="3" t="s">
        <v>221</v>
      </c>
      <c r="G3121" s="3" t="s">
        <v>222</v>
      </c>
      <c r="H3121" s="2" t="s">
        <v>21</v>
      </c>
      <c r="I3121" s="2" t="s">
        <v>7451</v>
      </c>
      <c r="J3121" s="3" t="str">
        <f>HYPERLINK("https://www.boe.es/gazeta/dias/1817/08/16/pdfs/GMD-1817-98.pdf#page=8","Abrir facsímil")</f>
        <v>Abrir facsímil</v>
      </c>
      <c r="K3121" s="3" t="s">
        <v>23</v>
      </c>
    </row>
    <row r="3122" spans="1:11" ht="42" customHeight="1">
      <c r="A3122" s="2" t="s">
        <v>7447</v>
      </c>
      <c r="B3122" s="2" t="s">
        <v>7448</v>
      </c>
      <c r="C3122" s="2" t="s">
        <v>36</v>
      </c>
      <c r="D3122" s="2" t="s">
        <v>37</v>
      </c>
      <c r="E3122" s="5">
        <v>-30025</v>
      </c>
      <c r="F3122" s="3" t="s">
        <v>458</v>
      </c>
      <c r="G3122" s="3" t="s">
        <v>20</v>
      </c>
      <c r="H3122" s="2" t="s">
        <v>21</v>
      </c>
      <c r="I3122" s="2" t="s">
        <v>7452</v>
      </c>
      <c r="J3122" s="3" t="str">
        <f>HYPERLINK("https://www.boe.es/gazeta/dias/1817/10/16/pdfs/GMD-1817-124.pdf#page=7","Abrir facsímil")</f>
        <v>Abrir facsímil</v>
      </c>
      <c r="K3122" s="3" t="s">
        <v>23</v>
      </c>
    </row>
    <row r="3123" spans="1:11" ht="42" customHeight="1">
      <c r="A3123" s="2" t="s">
        <v>7447</v>
      </c>
      <c r="B3123" s="2" t="s">
        <v>7448</v>
      </c>
      <c r="C3123" s="2" t="s">
        <v>36</v>
      </c>
      <c r="D3123" s="2" t="s">
        <v>37</v>
      </c>
      <c r="E3123" s="5">
        <v>-30018</v>
      </c>
      <c r="F3123" s="3" t="s">
        <v>757</v>
      </c>
      <c r="G3123" s="3" t="s">
        <v>77</v>
      </c>
      <c r="H3123" s="2" t="s">
        <v>21</v>
      </c>
      <c r="I3123" s="2" t="s">
        <v>7453</v>
      </c>
      <c r="J3123" s="3" t="str">
        <f>HYPERLINK("https://www.boe.es/gazeta/dias/1817/10/23/pdfs/GMD-1817-127.pdf#page=8","Abrir facsímil")</f>
        <v>Abrir facsímil</v>
      </c>
      <c r="K3123" s="3" t="s">
        <v>23</v>
      </c>
    </row>
    <row r="3124" spans="1:11" ht="42" customHeight="1">
      <c r="A3124" s="2" t="s">
        <v>7447</v>
      </c>
      <c r="B3124" s="2" t="s">
        <v>7448</v>
      </c>
      <c r="C3124" s="2" t="s">
        <v>36</v>
      </c>
      <c r="D3124" s="2" t="s">
        <v>37</v>
      </c>
      <c r="E3124" s="5">
        <v>-29960</v>
      </c>
      <c r="F3124" s="3" t="s">
        <v>657</v>
      </c>
      <c r="G3124" s="3" t="s">
        <v>82</v>
      </c>
      <c r="H3124" s="2" t="s">
        <v>21</v>
      </c>
      <c r="I3124" s="2" t="s">
        <v>7454</v>
      </c>
      <c r="J3124" s="3" t="str">
        <f>HYPERLINK("https://www.boe.es/gazeta/dias/1817/12/20/pdfs/GMD-1817-152.pdf#page=12","Abrir facsímil")</f>
        <v>Abrir facsímil</v>
      </c>
      <c r="K3124" s="3" t="s">
        <v>23</v>
      </c>
    </row>
    <row r="3125" spans="1:11" ht="42" customHeight="1">
      <c r="A3125" s="2" t="s">
        <v>7455</v>
      </c>
      <c r="B3125" s="2" t="s">
        <v>7456</v>
      </c>
      <c r="C3125" s="2" t="s">
        <v>43</v>
      </c>
      <c r="D3125" s="2" t="s">
        <v>44</v>
      </c>
      <c r="E3125" s="5">
        <v>-30230</v>
      </c>
      <c r="F3125" s="3" t="s">
        <v>189</v>
      </c>
      <c r="G3125" s="3" t="s">
        <v>39</v>
      </c>
      <c r="H3125" s="2" t="s">
        <v>21</v>
      </c>
      <c r="I3125" s="2" t="s">
        <v>7457</v>
      </c>
      <c r="J3125" s="3" t="str">
        <f>HYPERLINK("https://www.boe.es/gazeta/dias/1817/03/25/pdfs/GMD-1817-36.pdf#page=5","Abrir facsímil")</f>
        <v>Abrir facsímil</v>
      </c>
      <c r="K3125" s="3" t="s">
        <v>23</v>
      </c>
    </row>
    <row r="3126" spans="1:11" ht="42" customHeight="1">
      <c r="A3126" s="2" t="s">
        <v>7458</v>
      </c>
      <c r="B3126" s="2" t="s">
        <v>7459</v>
      </c>
      <c r="C3126" s="2" t="s">
        <v>49</v>
      </c>
      <c r="D3126" s="2" t="s">
        <v>44</v>
      </c>
      <c r="E3126" s="5">
        <v>-30093</v>
      </c>
      <c r="F3126" s="3" t="s">
        <v>230</v>
      </c>
      <c r="G3126" s="3" t="s">
        <v>77</v>
      </c>
      <c r="H3126" s="2" t="s">
        <v>21</v>
      </c>
      <c r="I3126" s="2" t="s">
        <v>7460</v>
      </c>
      <c r="J3126" s="3" t="str">
        <f>HYPERLINK("https://www.boe.es/gazeta/dias/1817/08/09/pdfs/GMD-1817-95.pdf#page=8","Abrir facsímil")</f>
        <v>Abrir facsímil</v>
      </c>
      <c r="K3126" s="3" t="s">
        <v>23</v>
      </c>
    </row>
    <row r="3127" spans="1:11" ht="42" customHeight="1">
      <c r="A3127" s="2" t="s">
        <v>7461</v>
      </c>
      <c r="B3127" s="2" t="s">
        <v>7462</v>
      </c>
      <c r="C3127" s="2" t="s">
        <v>43</v>
      </c>
      <c r="D3127" s="2" t="s">
        <v>44</v>
      </c>
      <c r="E3127" s="5">
        <v>-30286</v>
      </c>
      <c r="F3127" s="3" t="s">
        <v>354</v>
      </c>
      <c r="G3127" s="3" t="s">
        <v>1580</v>
      </c>
      <c r="H3127" s="2" t="s">
        <v>21</v>
      </c>
      <c r="I3127" s="2" t="s">
        <v>7463</v>
      </c>
      <c r="J3127" s="3" t="str">
        <f>HYPERLINK("https://www.boe.es/gazeta/dias/1817/01/28/pdfs/GMD-1817-12.pdf#page=5","Abrir facsímil")</f>
        <v>Abrir facsímil</v>
      </c>
      <c r="K3127" s="3" t="s">
        <v>23</v>
      </c>
    </row>
    <row r="3128" spans="1:11" ht="42" customHeight="1">
      <c r="A3128" s="2" t="s">
        <v>7464</v>
      </c>
      <c r="B3128" s="2" t="s">
        <v>7465</v>
      </c>
      <c r="C3128" s="2" t="s">
        <v>17</v>
      </c>
      <c r="D3128" s="2" t="s">
        <v>18</v>
      </c>
      <c r="E3128" s="5">
        <v>-29988</v>
      </c>
      <c r="F3128" s="3" t="s">
        <v>569</v>
      </c>
      <c r="G3128" s="3" t="s">
        <v>112</v>
      </c>
      <c r="H3128" s="2" t="s">
        <v>21</v>
      </c>
      <c r="I3128" s="2" t="s">
        <v>7466</v>
      </c>
      <c r="J3128" s="3" t="str">
        <f>HYPERLINK("https://www.boe.es/gazeta/dias/1817/11/22/pdfs/GMD-1817-140.pdf#page=11","Abrir facsímil")</f>
        <v>Abrir facsímil</v>
      </c>
      <c r="K3128" s="3" t="s">
        <v>23</v>
      </c>
    </row>
    <row r="3129" spans="1:11" ht="42" customHeight="1">
      <c r="A3129" s="2" t="s">
        <v>7467</v>
      </c>
      <c r="B3129" s="2" t="s">
        <v>7468</v>
      </c>
      <c r="C3129" s="2" t="s">
        <v>36</v>
      </c>
      <c r="D3129" s="2" t="s">
        <v>37</v>
      </c>
      <c r="E3129" s="5">
        <v>-30268</v>
      </c>
      <c r="F3129" s="3" t="s">
        <v>1160</v>
      </c>
      <c r="G3129" s="3" t="s">
        <v>57</v>
      </c>
      <c r="H3129" s="2" t="s">
        <v>21</v>
      </c>
      <c r="I3129" s="2" t="s">
        <v>7469</v>
      </c>
      <c r="J3129" s="3" t="str">
        <f>HYPERLINK("https://www.boe.es/gazeta/dias/1817/02/15/pdfs/GMD-1817-20.pdf#page=6","Abrir facsímil")</f>
        <v>Abrir facsímil</v>
      </c>
      <c r="K3129" s="3" t="s">
        <v>23</v>
      </c>
    </row>
    <row r="3130" spans="1:11" ht="42" customHeight="1">
      <c r="A3130" s="2" t="s">
        <v>7470</v>
      </c>
      <c r="B3130" s="2" t="s">
        <v>7471</v>
      </c>
      <c r="C3130" s="2" t="s">
        <v>43</v>
      </c>
      <c r="D3130" s="2" t="s">
        <v>44</v>
      </c>
      <c r="E3130" s="5">
        <v>-30079</v>
      </c>
      <c r="F3130" s="3" t="s">
        <v>45</v>
      </c>
      <c r="G3130" s="3" t="s">
        <v>39</v>
      </c>
      <c r="H3130" s="2" t="s">
        <v>21</v>
      </c>
      <c r="I3130" s="2" t="s">
        <v>7472</v>
      </c>
      <c r="J3130" s="3" t="str">
        <f>HYPERLINK("https://www.boe.es/gazeta/dias/1817/08/23/pdfs/GMD-1817-101.pdf#page=5","Abrir facsímil")</f>
        <v>Abrir facsímil</v>
      </c>
      <c r="K3130" s="3" t="s">
        <v>23</v>
      </c>
    </row>
    <row r="3131" spans="1:11" ht="42" customHeight="1">
      <c r="A3131" s="2" t="s">
        <v>7473</v>
      </c>
      <c r="B3131" s="2" t="s">
        <v>7474</v>
      </c>
      <c r="C3131" s="2" t="s">
        <v>43</v>
      </c>
      <c r="D3131" s="2" t="s">
        <v>44</v>
      </c>
      <c r="E3131" s="5">
        <v>-30174</v>
      </c>
      <c r="F3131" s="3" t="s">
        <v>19</v>
      </c>
      <c r="G3131" s="3" t="s">
        <v>6767</v>
      </c>
      <c r="H3131" s="2" t="s">
        <v>21</v>
      </c>
      <c r="I3131" s="2" t="s">
        <v>7475</v>
      </c>
      <c r="J3131" s="3" t="str">
        <f>HYPERLINK("https://www.boe.es/gazeta/dias/1817/05/20/pdfs/GMD-1817-60.pdf#page=8","Abrir facsímil")</f>
        <v>Abrir facsímil</v>
      </c>
      <c r="K3131" s="3" t="s">
        <v>23</v>
      </c>
    </row>
    <row r="3132" spans="1:11" ht="42" customHeight="1">
      <c r="A3132" s="2" t="s">
        <v>7476</v>
      </c>
      <c r="B3132" s="2" t="s">
        <v>7477</v>
      </c>
      <c r="C3132" s="2" t="s">
        <v>43</v>
      </c>
      <c r="D3132" s="2" t="s">
        <v>44</v>
      </c>
      <c r="E3132" s="5">
        <v>-30279</v>
      </c>
      <c r="F3132" s="3" t="s">
        <v>1113</v>
      </c>
      <c r="G3132" s="3" t="s">
        <v>144</v>
      </c>
      <c r="H3132" s="2" t="s">
        <v>21</v>
      </c>
      <c r="I3132" s="2" t="s">
        <v>7478</v>
      </c>
      <c r="J3132" s="3" t="str">
        <f>HYPERLINK("https://www.boe.es/gazeta/dias/1817/02/04/pdfs/GMD-1817-15.pdf#page=4","Abrir facsímil")</f>
        <v>Abrir facsímil</v>
      </c>
      <c r="K3132" s="3" t="s">
        <v>23</v>
      </c>
    </row>
    <row r="3133" spans="1:11" ht="42" customHeight="1">
      <c r="A3133" s="2" t="s">
        <v>7479</v>
      </c>
      <c r="B3133" s="2" t="s">
        <v>7480</v>
      </c>
      <c r="C3133" s="2" t="s">
        <v>55</v>
      </c>
      <c r="D3133" s="2" t="s">
        <v>44</v>
      </c>
      <c r="E3133" s="5">
        <v>-29992</v>
      </c>
      <c r="F3133" s="3" t="s">
        <v>50</v>
      </c>
      <c r="G3133" s="3" t="s">
        <v>51</v>
      </c>
      <c r="H3133" s="2" t="s">
        <v>21</v>
      </c>
      <c r="I3133" s="2" t="s">
        <v>7481</v>
      </c>
      <c r="J3133" s="3" t="str">
        <f>HYPERLINK("https://www.boe.es/gazeta/dias/1817/11/18/pdfs/GMD-1817-138.pdf#page=8","Abrir facsímil")</f>
        <v>Abrir facsímil</v>
      </c>
      <c r="K3133" s="3" t="s">
        <v>23</v>
      </c>
    </row>
    <row r="3134" spans="1:11" ht="42" customHeight="1">
      <c r="A3134" s="2" t="s">
        <v>7482</v>
      </c>
      <c r="B3134" s="2" t="s">
        <v>7483</v>
      </c>
      <c r="C3134" s="2" t="s">
        <v>17</v>
      </c>
      <c r="D3134" s="2" t="s">
        <v>18</v>
      </c>
      <c r="E3134" s="5">
        <v>-30303</v>
      </c>
      <c r="F3134" s="3" t="s">
        <v>407</v>
      </c>
      <c r="G3134" s="3" t="s">
        <v>77</v>
      </c>
      <c r="H3134" s="2" t="s">
        <v>27</v>
      </c>
      <c r="I3134" s="2" t="s">
        <v>7484</v>
      </c>
      <c r="J3134" s="3" t="str">
        <f>HYPERLINK("https://www.boe.es/gazeta/dias/1817/01/11/pdfs/GMD-1817-5.pdf#page=8","Abrir facsímil")</f>
        <v>Abrir facsímil</v>
      </c>
      <c r="K3134" s="3" t="s">
        <v>29</v>
      </c>
    </row>
    <row r="3135" spans="1:11" ht="42" customHeight="1">
      <c r="A3135" s="2" t="s">
        <v>7482</v>
      </c>
      <c r="B3135" s="2" t="s">
        <v>7483</v>
      </c>
      <c r="C3135" s="2" t="s">
        <v>36</v>
      </c>
      <c r="D3135" s="2" t="s">
        <v>37</v>
      </c>
      <c r="E3135" s="5">
        <v>-30261</v>
      </c>
      <c r="F3135" s="3" t="s">
        <v>226</v>
      </c>
      <c r="G3135" s="3" t="s">
        <v>20</v>
      </c>
      <c r="H3135" s="2" t="s">
        <v>27</v>
      </c>
      <c r="I3135" s="2" t="s">
        <v>7485</v>
      </c>
      <c r="J3135" s="3" t="str">
        <f>HYPERLINK("https://www.boe.es/gazeta/dias/1817/02/22/pdfs/GMD-1817-23.pdf#page=7","Abrir facsímil")</f>
        <v>Abrir facsímil</v>
      </c>
      <c r="K3135" s="3" t="s">
        <v>29</v>
      </c>
    </row>
    <row r="3136" spans="1:11" ht="42" customHeight="1">
      <c r="A3136" s="2" t="s">
        <v>7482</v>
      </c>
      <c r="B3136" s="2" t="s">
        <v>7483</v>
      </c>
      <c r="C3136" s="2" t="s">
        <v>17</v>
      </c>
      <c r="D3136" s="2" t="s">
        <v>18</v>
      </c>
      <c r="E3136" s="5">
        <v>-30226</v>
      </c>
      <c r="F3136" s="3" t="s">
        <v>416</v>
      </c>
      <c r="G3136" s="3" t="s">
        <v>77</v>
      </c>
      <c r="H3136" s="2" t="s">
        <v>27</v>
      </c>
      <c r="I3136" s="2" t="s">
        <v>7486</v>
      </c>
      <c r="J3136" s="3" t="str">
        <f>HYPERLINK("https://www.boe.es/gazeta/dias/1817/03/29/pdfs/GMD-1817-38.pdf#page=8","Abrir facsímil")</f>
        <v>Abrir facsímil</v>
      </c>
      <c r="K3136" s="3" t="s">
        <v>29</v>
      </c>
    </row>
    <row r="3137" spans="1:11" ht="42" customHeight="1">
      <c r="A3137" s="2" t="s">
        <v>7482</v>
      </c>
      <c r="B3137" s="2" t="s">
        <v>7483</v>
      </c>
      <c r="C3137" s="2" t="s">
        <v>43</v>
      </c>
      <c r="D3137" s="2" t="s">
        <v>44</v>
      </c>
      <c r="E3137" s="5">
        <v>-30167</v>
      </c>
      <c r="F3137" s="3" t="s">
        <v>153</v>
      </c>
      <c r="G3137" s="3" t="s">
        <v>144</v>
      </c>
      <c r="H3137" s="2" t="s">
        <v>27</v>
      </c>
      <c r="I3137" s="2" t="s">
        <v>7487</v>
      </c>
      <c r="J3137" s="3" t="str">
        <f>HYPERLINK("https://www.boe.es/gazeta/dias/1817/05/27/pdfs/GMD-1817-63.pdf#page=4","Abrir facsímil")</f>
        <v>Abrir facsímil</v>
      </c>
      <c r="K3137" s="3" t="s">
        <v>29</v>
      </c>
    </row>
    <row r="3138" spans="1:11" ht="42" customHeight="1">
      <c r="A3138" s="2" t="s">
        <v>7482</v>
      </c>
      <c r="B3138" s="2" t="s">
        <v>7483</v>
      </c>
      <c r="C3138" s="2" t="s">
        <v>138</v>
      </c>
      <c r="D3138" s="2" t="s">
        <v>44</v>
      </c>
      <c r="E3138" s="5">
        <v>-30055</v>
      </c>
      <c r="F3138" s="3" t="s">
        <v>71</v>
      </c>
      <c r="G3138" s="3" t="s">
        <v>82</v>
      </c>
      <c r="H3138" s="2" t="s">
        <v>27</v>
      </c>
      <c r="I3138" s="2" t="s">
        <v>7488</v>
      </c>
      <c r="J3138" s="3" t="str">
        <f>HYPERLINK("https://www.boe.es/gazeta/dias/1817/09/16/pdfs/GMD-1817-111.pdf#page=12","Abrir facsímil")</f>
        <v>Abrir facsímil</v>
      </c>
      <c r="K3138" s="3" t="s">
        <v>29</v>
      </c>
    </row>
    <row r="3139" spans="1:11" ht="42" customHeight="1">
      <c r="A3139" s="2" t="s">
        <v>7482</v>
      </c>
      <c r="B3139" s="2" t="s">
        <v>7483</v>
      </c>
      <c r="C3139" s="2" t="s">
        <v>36</v>
      </c>
      <c r="D3139" s="2" t="s">
        <v>37</v>
      </c>
      <c r="E3139" s="5">
        <v>-29969</v>
      </c>
      <c r="F3139" s="3" t="s">
        <v>252</v>
      </c>
      <c r="G3139" s="3" t="s">
        <v>112</v>
      </c>
      <c r="H3139" s="2" t="s">
        <v>27</v>
      </c>
      <c r="I3139" s="2" t="s">
        <v>7489</v>
      </c>
      <c r="J3139" s="3" t="str">
        <f>HYPERLINK("https://www.boe.es/gazeta/dias/1817/12/11/pdfs/GMD-1817-148.pdf#page=11","Abrir facsímil")</f>
        <v>Abrir facsímil</v>
      </c>
      <c r="K3139" s="3" t="s">
        <v>29</v>
      </c>
    </row>
    <row r="3140" spans="1:11" ht="42" customHeight="1">
      <c r="A3140" s="2" t="s">
        <v>7490</v>
      </c>
      <c r="B3140" s="2" t="s">
        <v>7491</v>
      </c>
      <c r="C3140" s="2" t="s">
        <v>36</v>
      </c>
      <c r="D3140" s="2" t="s">
        <v>37</v>
      </c>
      <c r="E3140" s="5">
        <v>-30261</v>
      </c>
      <c r="F3140" s="3" t="s">
        <v>226</v>
      </c>
      <c r="G3140" s="3" t="s">
        <v>57</v>
      </c>
      <c r="H3140" s="2" t="s">
        <v>21</v>
      </c>
      <c r="I3140" s="2" t="s">
        <v>7492</v>
      </c>
      <c r="J3140" s="3" t="str">
        <f>HYPERLINK("https://www.boe.es/gazeta/dias/1817/02/22/pdfs/GMD-1817-23.pdf#page=6","Abrir facsímil")</f>
        <v>Abrir facsímil</v>
      </c>
      <c r="K3140" s="3" t="s">
        <v>23</v>
      </c>
    </row>
    <row r="3141" spans="1:11" ht="42" customHeight="1">
      <c r="A3141" s="2" t="s">
        <v>7493</v>
      </c>
      <c r="B3141" s="2" t="s">
        <v>7494</v>
      </c>
      <c r="C3141" s="2" t="s">
        <v>43</v>
      </c>
      <c r="D3141" s="2" t="s">
        <v>44</v>
      </c>
      <c r="E3141" s="5">
        <v>-30310</v>
      </c>
      <c r="F3141" s="3" t="s">
        <v>93</v>
      </c>
      <c r="G3141" s="3" t="s">
        <v>57</v>
      </c>
      <c r="H3141" s="2" t="s">
        <v>21</v>
      </c>
      <c r="I3141" s="2" t="s">
        <v>7495</v>
      </c>
      <c r="J3141" s="3" t="str">
        <f>HYPERLINK("https://www.boe.es/gazeta/dias/1817/01/04/pdfs/GMD-1817-2.pdf#page=6","Abrir facsímil")</f>
        <v>Abrir facsímil</v>
      </c>
      <c r="K3141" s="3" t="s">
        <v>23</v>
      </c>
    </row>
    <row r="3142" spans="1:11" ht="42" customHeight="1">
      <c r="A3142" s="2" t="s">
        <v>7496</v>
      </c>
      <c r="B3142" s="2" t="s">
        <v>7497</v>
      </c>
      <c r="C3142" s="2" t="s">
        <v>36</v>
      </c>
      <c r="D3142" s="2" t="s">
        <v>37</v>
      </c>
      <c r="E3142" s="5">
        <v>-30128</v>
      </c>
      <c r="F3142" s="3" t="s">
        <v>761</v>
      </c>
      <c r="G3142" s="3" t="s">
        <v>20</v>
      </c>
      <c r="H3142" s="2" t="s">
        <v>21</v>
      </c>
      <c r="I3142" s="2" t="s">
        <v>7498</v>
      </c>
      <c r="J3142" s="3" t="str">
        <f>HYPERLINK("https://www.boe.es/gazeta/dias/1817/07/05/pdfs/GMD-1817-80.pdf#page=7","Abrir facsímil")</f>
        <v>Abrir facsímil</v>
      </c>
      <c r="K3142" s="3" t="s">
        <v>23</v>
      </c>
    </row>
    <row r="3143" spans="1:11" ht="42" customHeight="1">
      <c r="A3143" s="2" t="s">
        <v>7499</v>
      </c>
      <c r="B3143" s="2" t="s">
        <v>7500</v>
      </c>
      <c r="C3143" s="2" t="s">
        <v>97</v>
      </c>
      <c r="D3143" s="2" t="s">
        <v>44</v>
      </c>
      <c r="E3143" s="5">
        <v>-30249</v>
      </c>
      <c r="F3143" s="3" t="s">
        <v>120</v>
      </c>
      <c r="G3143" s="3" t="s">
        <v>39</v>
      </c>
      <c r="H3143" s="2" t="s">
        <v>21</v>
      </c>
      <c r="I3143" s="2" t="s">
        <v>7501</v>
      </c>
      <c r="J3143" s="3" t="str">
        <f>HYPERLINK("https://www.boe.es/gazeta/dias/1817/03/06/pdfs/GMD-1817-28.pdf#page=5","Abrir facsímil")</f>
        <v>Abrir facsímil</v>
      </c>
      <c r="K3143" s="3" t="s">
        <v>23</v>
      </c>
    </row>
    <row r="3144" spans="1:11" ht="42" customHeight="1">
      <c r="A3144" s="2" t="s">
        <v>7502</v>
      </c>
      <c r="B3144" s="2" t="s">
        <v>7503</v>
      </c>
      <c r="C3144" s="2" t="s">
        <v>36</v>
      </c>
      <c r="D3144" s="2" t="s">
        <v>37</v>
      </c>
      <c r="E3144" s="5">
        <v>-30277</v>
      </c>
      <c r="F3144" s="3" t="s">
        <v>3822</v>
      </c>
      <c r="G3144" s="3" t="s">
        <v>20</v>
      </c>
      <c r="H3144" s="2" t="s">
        <v>21</v>
      </c>
      <c r="I3144" s="2" t="s">
        <v>7504</v>
      </c>
      <c r="J3144" s="3" t="str">
        <f>HYPERLINK("https://www.boe.es/gazeta/dias/1817/02/06/pdfs/GMD-1817-16.pdf#page=7","Abrir facsímil")</f>
        <v>Abrir facsímil</v>
      </c>
      <c r="K3144" s="3" t="s">
        <v>23</v>
      </c>
    </row>
    <row r="3145" spans="1:11" ht="42" customHeight="1">
      <c r="A3145" s="2" t="s">
        <v>7505</v>
      </c>
      <c r="B3145" s="2" t="s">
        <v>7505</v>
      </c>
      <c r="C3145" s="2" t="s">
        <v>55</v>
      </c>
      <c r="D3145" s="2" t="s">
        <v>44</v>
      </c>
      <c r="E3145" s="5">
        <v>-30300</v>
      </c>
      <c r="F3145" s="3" t="s">
        <v>164</v>
      </c>
      <c r="G3145" s="3" t="s">
        <v>551</v>
      </c>
      <c r="H3145" s="2" t="s">
        <v>21</v>
      </c>
      <c r="I3145" s="2" t="s">
        <v>7506</v>
      </c>
      <c r="J3145" s="3" t="str">
        <f>HYPERLINK("https://www.boe.es/gazeta/dias/1817/01/14/pdfs/GMD-1817-6.pdf#page=3","Abrir facsímil")</f>
        <v>Abrir facsímil</v>
      </c>
      <c r="K3145" s="3" t="s">
        <v>23</v>
      </c>
    </row>
    <row r="3146" spans="1:11" ht="42" customHeight="1">
      <c r="A3146" s="2" t="s">
        <v>7507</v>
      </c>
      <c r="B3146" s="2" t="s">
        <v>7508</v>
      </c>
      <c r="C3146" s="2" t="s">
        <v>36</v>
      </c>
      <c r="D3146" s="2" t="s">
        <v>37</v>
      </c>
      <c r="E3146" s="5">
        <v>-30109</v>
      </c>
      <c r="F3146" s="3" t="s">
        <v>205</v>
      </c>
      <c r="G3146" s="3" t="s">
        <v>1464</v>
      </c>
      <c r="H3146" s="2" t="s">
        <v>21</v>
      </c>
      <c r="I3146" s="2" t="s">
        <v>7509</v>
      </c>
      <c r="J3146" s="3" t="str">
        <f>HYPERLINK("https://www.boe.es/gazeta/dias/1817/07/24/pdfs/GMD-1817-88.pdf#page=13","Abrir facsímil")</f>
        <v>Abrir facsímil</v>
      </c>
      <c r="K3146" s="3" t="s">
        <v>23</v>
      </c>
    </row>
    <row r="3147" spans="1:11" ht="42" customHeight="1">
      <c r="A3147" s="2" t="s">
        <v>7510</v>
      </c>
      <c r="B3147" s="2" t="s">
        <v>7511</v>
      </c>
      <c r="C3147" s="2" t="s">
        <v>17</v>
      </c>
      <c r="D3147" s="2" t="s">
        <v>18</v>
      </c>
      <c r="E3147" s="5">
        <v>-30312</v>
      </c>
      <c r="F3147" s="3" t="s">
        <v>86</v>
      </c>
      <c r="G3147" s="3" t="s">
        <v>39</v>
      </c>
      <c r="H3147" s="2" t="s">
        <v>21</v>
      </c>
      <c r="I3147" s="2" t="s">
        <v>7512</v>
      </c>
      <c r="J3147" s="3" t="str">
        <f>HYPERLINK("https://www.boe.es/gazeta/dias/1817/01/02/pdfs/GMD-1817-1.pdf#page=5","Abrir facsímil")</f>
        <v>Abrir facsímil</v>
      </c>
      <c r="K3147" s="3" t="s">
        <v>23</v>
      </c>
    </row>
    <row r="3148" spans="1:11" ht="42" customHeight="1">
      <c r="A3148" s="2" t="s">
        <v>7513</v>
      </c>
      <c r="B3148" s="2" t="s">
        <v>7513</v>
      </c>
      <c r="C3148" s="2" t="s">
        <v>17</v>
      </c>
      <c r="D3148" s="2" t="s">
        <v>18</v>
      </c>
      <c r="E3148" s="5">
        <v>-30188</v>
      </c>
      <c r="F3148" s="3" t="s">
        <v>177</v>
      </c>
      <c r="G3148" s="3" t="s">
        <v>77</v>
      </c>
      <c r="H3148" s="2" t="s">
        <v>21</v>
      </c>
      <c r="I3148" s="2" t="s">
        <v>7514</v>
      </c>
      <c r="J3148" s="3" t="str">
        <f>HYPERLINK("https://www.boe.es/gazeta/dias/1817/05/06/pdfs/GMD-1817-54.pdf#page=8","Abrir facsímil")</f>
        <v>Abrir facsímil</v>
      </c>
      <c r="K3148" s="3" t="s">
        <v>23</v>
      </c>
    </row>
    <row r="3149" spans="1:11" ht="42" customHeight="1">
      <c r="A3149" s="2" t="s">
        <v>7515</v>
      </c>
      <c r="B3149" s="2" t="s">
        <v>7516</v>
      </c>
      <c r="C3149" s="2" t="s">
        <v>43</v>
      </c>
      <c r="D3149" s="2" t="s">
        <v>44</v>
      </c>
      <c r="E3149" s="5">
        <v>-29981</v>
      </c>
      <c r="F3149" s="3" t="s">
        <v>111</v>
      </c>
      <c r="G3149" s="3" t="s">
        <v>112</v>
      </c>
      <c r="H3149" s="2" t="s">
        <v>27</v>
      </c>
      <c r="I3149" s="2" t="s">
        <v>7517</v>
      </c>
      <c r="J3149" s="3" t="str">
        <f>HYPERLINK("https://www.boe.es/gazeta/dias/1817/11/29/pdfs/GMD-1817-143.pdf#page=11","Abrir facsímil")</f>
        <v>Abrir facsímil</v>
      </c>
      <c r="K3149" s="3" t="s">
        <v>29</v>
      </c>
    </row>
    <row r="3150" spans="1:11" ht="42" customHeight="1">
      <c r="A3150" s="2" t="s">
        <v>7518</v>
      </c>
      <c r="B3150" s="2" t="s">
        <v>7518</v>
      </c>
      <c r="C3150" s="2" t="s">
        <v>43</v>
      </c>
      <c r="D3150" s="2" t="s">
        <v>44</v>
      </c>
      <c r="E3150" s="5">
        <v>-30279</v>
      </c>
      <c r="F3150" s="3" t="s">
        <v>1113</v>
      </c>
      <c r="G3150" s="3" t="s">
        <v>77</v>
      </c>
      <c r="H3150" s="2" t="s">
        <v>21</v>
      </c>
      <c r="I3150" s="2" t="s">
        <v>7519</v>
      </c>
      <c r="J3150" s="3" t="str">
        <f>HYPERLINK("https://www.boe.es/gazeta/dias/1817/02/04/pdfs/GMD-1817-15.pdf#page=8","Abrir facsímil")</f>
        <v>Abrir facsímil</v>
      </c>
      <c r="K3150" s="3" t="s">
        <v>23</v>
      </c>
    </row>
    <row r="3151" spans="1:11" ht="42" customHeight="1">
      <c r="A3151" s="2" t="s">
        <v>7520</v>
      </c>
      <c r="B3151" s="2" t="s">
        <v>7521</v>
      </c>
      <c r="C3151" s="2" t="s">
        <v>55</v>
      </c>
      <c r="D3151" s="2" t="s">
        <v>44</v>
      </c>
      <c r="E3151" s="5">
        <v>-30212</v>
      </c>
      <c r="F3151" s="3" t="s">
        <v>745</v>
      </c>
      <c r="G3151" s="3" t="s">
        <v>551</v>
      </c>
      <c r="H3151" s="2" t="s">
        <v>21</v>
      </c>
      <c r="I3151" s="2" t="s">
        <v>7522</v>
      </c>
      <c r="J3151" s="3" t="str">
        <f>HYPERLINK("https://www.boe.es/gazeta/dias/1817/04/12/pdfs/GMD-1817-44.pdf#page=3","Abrir facsímil")</f>
        <v>Abrir facsímil</v>
      </c>
      <c r="K3151" s="3" t="s">
        <v>23</v>
      </c>
    </row>
    <row r="3152" spans="1:11" ht="42" customHeight="1">
      <c r="A3152" s="2" t="s">
        <v>7523</v>
      </c>
      <c r="B3152" s="2" t="s">
        <v>7524</v>
      </c>
      <c r="C3152" s="2" t="s">
        <v>17</v>
      </c>
      <c r="D3152" s="2" t="s">
        <v>18</v>
      </c>
      <c r="E3152" s="5">
        <v>-30041</v>
      </c>
      <c r="F3152" s="3" t="s">
        <v>260</v>
      </c>
      <c r="G3152" s="3" t="s">
        <v>20</v>
      </c>
      <c r="H3152" s="2" t="s">
        <v>27</v>
      </c>
      <c r="I3152" s="2" t="s">
        <v>7525</v>
      </c>
      <c r="J3152" s="3" t="str">
        <f>HYPERLINK("https://www.boe.es/gazeta/dias/1817/09/30/pdfs/GMD-1817-117.pdf#page=7","Abrir facsímil")</f>
        <v>Abrir facsímil</v>
      </c>
      <c r="K3152" s="3" t="s">
        <v>29</v>
      </c>
    </row>
    <row r="3153" spans="1:11" ht="42" customHeight="1">
      <c r="A3153" s="2" t="s">
        <v>7526</v>
      </c>
      <c r="B3153" s="2" t="s">
        <v>7527</v>
      </c>
      <c r="C3153" s="2" t="s">
        <v>36</v>
      </c>
      <c r="D3153" s="2" t="s">
        <v>37</v>
      </c>
      <c r="E3153" s="5">
        <v>-30151</v>
      </c>
      <c r="F3153" s="3" t="s">
        <v>1422</v>
      </c>
      <c r="G3153" s="3" t="s">
        <v>39</v>
      </c>
      <c r="H3153" s="2" t="s">
        <v>21</v>
      </c>
      <c r="I3153" s="2" t="s">
        <v>7528</v>
      </c>
      <c r="J3153" s="3" t="str">
        <f>HYPERLINK("https://www.boe.es/gazeta/dias/1817/06/12/pdfs/GMD-1817-70.pdf#page=5","Abrir facsímil")</f>
        <v>Abrir facsímil</v>
      </c>
      <c r="K3153" s="3" t="s">
        <v>23</v>
      </c>
    </row>
    <row r="3154" spans="1:11" ht="42" customHeight="1">
      <c r="A3154" s="2" t="s">
        <v>7526</v>
      </c>
      <c r="B3154" s="2" t="s">
        <v>7527</v>
      </c>
      <c r="C3154" s="2" t="s">
        <v>36</v>
      </c>
      <c r="D3154" s="2" t="s">
        <v>37</v>
      </c>
      <c r="E3154" s="5">
        <v>-30027</v>
      </c>
      <c r="F3154" s="3" t="s">
        <v>173</v>
      </c>
      <c r="G3154" s="3" t="s">
        <v>144</v>
      </c>
      <c r="H3154" s="2" t="s">
        <v>21</v>
      </c>
      <c r="I3154" s="2" t="s">
        <v>7529</v>
      </c>
      <c r="J3154" s="3" t="str">
        <f>HYPERLINK("https://www.boe.es/gazeta/dias/1817/10/14/pdfs/GMD-1817-123.pdf#page=4","Abrir facsímil")</f>
        <v>Abrir facsímil</v>
      </c>
      <c r="K3154" s="3" t="s">
        <v>23</v>
      </c>
    </row>
    <row r="3155" spans="1:11" ht="42" customHeight="1">
      <c r="A3155" s="2" t="s">
        <v>7530</v>
      </c>
      <c r="B3155" s="2" t="s">
        <v>7531</v>
      </c>
      <c r="C3155" s="2" t="s">
        <v>43</v>
      </c>
      <c r="D3155" s="2" t="s">
        <v>44</v>
      </c>
      <c r="E3155" s="5">
        <v>-30079</v>
      </c>
      <c r="F3155" s="3" t="s">
        <v>45</v>
      </c>
      <c r="G3155" s="3" t="s">
        <v>57</v>
      </c>
      <c r="H3155" s="2" t="s">
        <v>21</v>
      </c>
      <c r="I3155" s="2" t="s">
        <v>7532</v>
      </c>
      <c r="J3155" s="3" t="str">
        <f>HYPERLINK("https://www.boe.es/gazeta/dias/1817/08/23/pdfs/GMD-1817-101.pdf#page=6","Abrir facsímil")</f>
        <v>Abrir facsímil</v>
      </c>
      <c r="K3155" s="3" t="s">
        <v>23</v>
      </c>
    </row>
    <row r="3156" spans="1:11" ht="42" customHeight="1">
      <c r="A3156" s="2" t="s">
        <v>7533</v>
      </c>
      <c r="B3156" s="2" t="s">
        <v>7534</v>
      </c>
      <c r="C3156" s="2" t="s">
        <v>36</v>
      </c>
      <c r="D3156" s="2" t="s">
        <v>37</v>
      </c>
      <c r="E3156" s="5">
        <v>-30200</v>
      </c>
      <c r="F3156" s="3" t="s">
        <v>725</v>
      </c>
      <c r="G3156" s="3" t="s">
        <v>57</v>
      </c>
      <c r="H3156" s="2" t="s">
        <v>21</v>
      </c>
      <c r="I3156" s="2" t="s">
        <v>7535</v>
      </c>
      <c r="J3156" s="3" t="str">
        <f>HYPERLINK("https://www.boe.es/gazeta/dias/1817/04/24/pdfs/GMD-1817-49.pdf#page=6","Abrir facsímil")</f>
        <v>Abrir facsímil</v>
      </c>
      <c r="K3156" s="3" t="s">
        <v>23</v>
      </c>
    </row>
    <row r="3157" spans="1:11" ht="42" customHeight="1">
      <c r="A3157" s="2" t="s">
        <v>7536</v>
      </c>
      <c r="B3157" s="2" t="s">
        <v>7537</v>
      </c>
      <c r="C3157" s="2" t="s">
        <v>36</v>
      </c>
      <c r="D3157" s="2" t="s">
        <v>37</v>
      </c>
      <c r="E3157" s="5">
        <v>-30030</v>
      </c>
      <c r="F3157" s="3" t="s">
        <v>508</v>
      </c>
      <c r="G3157" s="3" t="s">
        <v>82</v>
      </c>
      <c r="H3157" s="2" t="s">
        <v>21</v>
      </c>
      <c r="I3157" s="2" t="s">
        <v>7538</v>
      </c>
      <c r="J3157" s="3" t="str">
        <f>HYPERLINK("https://www.boe.es/gazeta/dias/1817/10/11/pdfs/GMD-1817-122.pdf#page=12","Abrir facsímil")</f>
        <v>Abrir facsímil</v>
      </c>
      <c r="K3157" s="3" t="s">
        <v>23</v>
      </c>
    </row>
    <row r="3158" spans="1:11" ht="42" customHeight="1">
      <c r="A3158" s="2" t="s">
        <v>7539</v>
      </c>
      <c r="B3158" s="2" t="s">
        <v>7540</v>
      </c>
      <c r="C3158" s="2" t="s">
        <v>43</v>
      </c>
      <c r="D3158" s="2" t="s">
        <v>44</v>
      </c>
      <c r="E3158" s="5">
        <v>-30307</v>
      </c>
      <c r="F3158" s="3" t="s">
        <v>67</v>
      </c>
      <c r="G3158" s="3" t="s">
        <v>68</v>
      </c>
      <c r="H3158" s="2" t="s">
        <v>27</v>
      </c>
      <c r="I3158" s="2" t="s">
        <v>7541</v>
      </c>
      <c r="J3158" s="3" t="str">
        <f>HYPERLINK("https://www.boe.es/gazeta/dias/1817/01/07/pdfs/GMD-1817-3.pdf#page=8","Abrir facsímil")</f>
        <v>Abrir facsímil</v>
      </c>
      <c r="K3158" s="3" t="s">
        <v>29</v>
      </c>
    </row>
    <row r="3159" spans="1:11" ht="42" customHeight="1">
      <c r="A3159" s="2" t="s">
        <v>7542</v>
      </c>
      <c r="B3159" s="2" t="s">
        <v>7543</v>
      </c>
      <c r="C3159" s="2" t="s">
        <v>17</v>
      </c>
      <c r="D3159" s="2" t="s">
        <v>18</v>
      </c>
      <c r="E3159" s="5">
        <v>-30230</v>
      </c>
      <c r="F3159" s="3" t="s">
        <v>189</v>
      </c>
      <c r="G3159" s="3" t="s">
        <v>2911</v>
      </c>
      <c r="H3159" s="2" t="s">
        <v>21</v>
      </c>
      <c r="I3159" s="2" t="s">
        <v>7544</v>
      </c>
      <c r="J3159" s="3" t="str">
        <f>HYPERLINK("https://www.boe.es/gazeta/dias/1817/03/25/pdfs/GMD-1817-36.pdf#page=6","Abrir facsímil")</f>
        <v>Abrir facsímil</v>
      </c>
      <c r="K3159" s="3" t="s">
        <v>23</v>
      </c>
    </row>
    <row r="3160" spans="1:11" ht="42" customHeight="1">
      <c r="A3160" s="2" t="s">
        <v>7545</v>
      </c>
      <c r="B3160" s="2" t="s">
        <v>7546</v>
      </c>
      <c r="C3160" s="2" t="s">
        <v>43</v>
      </c>
      <c r="D3160" s="2" t="s">
        <v>44</v>
      </c>
      <c r="E3160" s="5">
        <v>-29981</v>
      </c>
      <c r="F3160" s="3" t="s">
        <v>111</v>
      </c>
      <c r="G3160" s="3" t="s">
        <v>112</v>
      </c>
      <c r="H3160" s="2" t="s">
        <v>27</v>
      </c>
      <c r="I3160" s="2" t="s">
        <v>7547</v>
      </c>
      <c r="J3160" s="3" t="str">
        <f>HYPERLINK("https://www.boe.es/gazeta/dias/1817/11/29/pdfs/GMD-1817-143.pdf#page=11","Abrir facsímil")</f>
        <v>Abrir facsímil</v>
      </c>
      <c r="K3160" s="3" t="s">
        <v>29</v>
      </c>
    </row>
    <row r="3161" spans="1:11" ht="42" customHeight="1">
      <c r="A3161" s="2" t="s">
        <v>7548</v>
      </c>
      <c r="B3161" s="2" t="s">
        <v>7549</v>
      </c>
      <c r="C3161" s="2" t="s">
        <v>36</v>
      </c>
      <c r="D3161" s="2" t="s">
        <v>37</v>
      </c>
      <c r="E3161" s="5">
        <v>-30289</v>
      </c>
      <c r="F3161" s="3" t="s">
        <v>193</v>
      </c>
      <c r="G3161" s="3" t="s">
        <v>77</v>
      </c>
      <c r="H3161" s="2" t="s">
        <v>21</v>
      </c>
      <c r="I3161" s="2" t="s">
        <v>7550</v>
      </c>
      <c r="J3161" s="3" t="str">
        <f>HYPERLINK("https://www.boe.es/gazeta/dias/1817/01/25/pdfs/GMD-1817-11.pdf#page=8","Abrir facsímil")</f>
        <v>Abrir facsímil</v>
      </c>
      <c r="K3161" s="3" t="s">
        <v>23</v>
      </c>
    </row>
    <row r="3162" spans="1:11" ht="42" customHeight="1">
      <c r="A3162" s="2" t="s">
        <v>7551</v>
      </c>
      <c r="B3162" s="2" t="s">
        <v>7552</v>
      </c>
      <c r="C3162" s="2" t="s">
        <v>43</v>
      </c>
      <c r="D3162" s="2" t="s">
        <v>44</v>
      </c>
      <c r="E3162" s="5">
        <v>-30079</v>
      </c>
      <c r="F3162" s="3" t="s">
        <v>45</v>
      </c>
      <c r="G3162" s="3" t="s">
        <v>39</v>
      </c>
      <c r="H3162" s="2" t="s">
        <v>21</v>
      </c>
      <c r="I3162" s="2" t="s">
        <v>7553</v>
      </c>
      <c r="J3162" s="3" t="str">
        <f>HYPERLINK("https://www.boe.es/gazeta/dias/1817/08/23/pdfs/GMD-1817-101.pdf#page=5","Abrir facsímil")</f>
        <v>Abrir facsímil</v>
      </c>
      <c r="K3162" s="3" t="s">
        <v>23</v>
      </c>
    </row>
    <row r="3163" spans="1:11" ht="42" customHeight="1">
      <c r="A3163" s="2" t="s">
        <v>7554</v>
      </c>
      <c r="B3163" s="2" t="s">
        <v>7555</v>
      </c>
      <c r="C3163" s="2" t="s">
        <v>36</v>
      </c>
      <c r="D3163" s="2" t="s">
        <v>37</v>
      </c>
      <c r="E3163" s="5">
        <v>-30109</v>
      </c>
      <c r="F3163" s="3" t="s">
        <v>205</v>
      </c>
      <c r="G3163" s="3" t="s">
        <v>4046</v>
      </c>
      <c r="H3163" s="2" t="s">
        <v>21</v>
      </c>
      <c r="I3163" s="2" t="s">
        <v>7556</v>
      </c>
      <c r="J3163" s="3" t="str">
        <f>HYPERLINK("https://www.boe.es/gazeta/dias/1817/07/24/pdfs/GMD-1817-88.pdf#page=6","Abrir facsímil")</f>
        <v>Abrir facsímil</v>
      </c>
      <c r="K3163" s="3" t="s">
        <v>23</v>
      </c>
    </row>
    <row r="3164" spans="1:11" ht="42" customHeight="1">
      <c r="A3164" s="2" t="s">
        <v>7557</v>
      </c>
      <c r="B3164" s="2" t="s">
        <v>7558</v>
      </c>
      <c r="C3164" s="2" t="s">
        <v>43</v>
      </c>
      <c r="D3164" s="2" t="s">
        <v>44</v>
      </c>
      <c r="E3164" s="5">
        <v>-30272</v>
      </c>
      <c r="F3164" s="3" t="s">
        <v>493</v>
      </c>
      <c r="G3164" s="3" t="s">
        <v>57</v>
      </c>
      <c r="H3164" s="2" t="s">
        <v>27</v>
      </c>
      <c r="I3164" s="2" t="s">
        <v>7559</v>
      </c>
      <c r="J3164" s="3" t="str">
        <f>HYPERLINK("https://www.boe.es/gazeta/dias/1817/02/11/pdfs/GMD-1817-18.pdf#page=6","Abrir facsímil")</f>
        <v>Abrir facsímil</v>
      </c>
      <c r="K3164" s="3" t="s">
        <v>29</v>
      </c>
    </row>
    <row r="3165" spans="1:11" ht="42" customHeight="1">
      <c r="A3165" s="2" t="s">
        <v>7560</v>
      </c>
      <c r="B3165" s="2" t="s">
        <v>7561</v>
      </c>
      <c r="C3165" s="2" t="s">
        <v>36</v>
      </c>
      <c r="D3165" s="2" t="s">
        <v>37</v>
      </c>
      <c r="E3165" s="5">
        <v>-30109</v>
      </c>
      <c r="F3165" s="3" t="s">
        <v>205</v>
      </c>
      <c r="G3165" s="3" t="s">
        <v>112</v>
      </c>
      <c r="H3165" s="2" t="s">
        <v>21</v>
      </c>
      <c r="I3165" s="2" t="s">
        <v>7562</v>
      </c>
      <c r="J3165" s="3" t="str">
        <f>HYPERLINK("https://www.boe.es/gazeta/dias/1817/07/24/pdfs/GMD-1817-88.pdf#page=11","Abrir facsímil")</f>
        <v>Abrir facsímil</v>
      </c>
      <c r="K3165" s="3" t="s">
        <v>23</v>
      </c>
    </row>
    <row r="3166" spans="1:11" ht="42" customHeight="1">
      <c r="A3166" s="2" t="s">
        <v>7563</v>
      </c>
      <c r="B3166" s="2" t="s">
        <v>7564</v>
      </c>
      <c r="C3166" s="2" t="s">
        <v>36</v>
      </c>
      <c r="D3166" s="2" t="s">
        <v>37</v>
      </c>
      <c r="E3166" s="5">
        <v>-30291</v>
      </c>
      <c r="F3166" s="3" t="s">
        <v>1041</v>
      </c>
      <c r="G3166" s="3" t="s">
        <v>7565</v>
      </c>
      <c r="H3166" s="2" t="s">
        <v>21</v>
      </c>
      <c r="I3166" s="2" t="s">
        <v>7566</v>
      </c>
      <c r="J3166" s="3" t="str">
        <f>HYPERLINK("https://www.boe.es/gazeta/dias/1817/01/23/pdfs/GMD-1817-10.pdf#page=4","Abrir facsímil")</f>
        <v>Abrir facsímil</v>
      </c>
      <c r="K3166" s="3" t="s">
        <v>23</v>
      </c>
    </row>
    <row r="3167" spans="1:11" ht="42" customHeight="1">
      <c r="A3167" s="2" t="s">
        <v>7567</v>
      </c>
      <c r="B3167" s="2" t="s">
        <v>7568</v>
      </c>
      <c r="C3167" s="2" t="s">
        <v>17</v>
      </c>
      <c r="D3167" s="2" t="s">
        <v>18</v>
      </c>
      <c r="E3167" s="5">
        <v>-30265</v>
      </c>
      <c r="F3167" s="3" t="s">
        <v>107</v>
      </c>
      <c r="G3167" s="3" t="s">
        <v>997</v>
      </c>
      <c r="H3167" s="2" t="s">
        <v>21</v>
      </c>
      <c r="I3167" s="2" t="s">
        <v>7569</v>
      </c>
      <c r="J3167" s="3" t="str">
        <f>HYPERLINK("https://www.boe.es/gazeta/dias/1817/02/18/pdfs/GMD-1817-21.pdf#page=5","Abrir facsímil")</f>
        <v>Abrir facsímil</v>
      </c>
      <c r="K3167" s="3" t="s">
        <v>23</v>
      </c>
    </row>
    <row r="3168" spans="1:11" ht="42" customHeight="1">
      <c r="A3168" s="2" t="s">
        <v>7570</v>
      </c>
      <c r="B3168" s="2" t="s">
        <v>7571</v>
      </c>
      <c r="C3168" s="2" t="s">
        <v>49</v>
      </c>
      <c r="D3168" s="2" t="s">
        <v>44</v>
      </c>
      <c r="E3168" s="5">
        <v>-30240</v>
      </c>
      <c r="F3168" s="3" t="s">
        <v>347</v>
      </c>
      <c r="G3168" s="3" t="s">
        <v>77</v>
      </c>
      <c r="H3168" s="2" t="s">
        <v>21</v>
      </c>
      <c r="I3168" s="2" t="s">
        <v>7572</v>
      </c>
      <c r="J3168" s="3" t="str">
        <f>HYPERLINK("https://www.boe.es/gazeta/dias/1817/03/15/pdfs/GMD-1817-32.pdf#page=8","Abrir facsímil")</f>
        <v>Abrir facsímil</v>
      </c>
      <c r="K3168" s="3" t="s">
        <v>23</v>
      </c>
    </row>
    <row r="3169" spans="1:11" ht="42" customHeight="1">
      <c r="A3169" s="2" t="s">
        <v>7573</v>
      </c>
      <c r="B3169" s="2" t="s">
        <v>7574</v>
      </c>
      <c r="C3169" s="2" t="s">
        <v>17</v>
      </c>
      <c r="D3169" s="2" t="s">
        <v>18</v>
      </c>
      <c r="E3169" s="5">
        <v>-30195</v>
      </c>
      <c r="F3169" s="3" t="s">
        <v>1163</v>
      </c>
      <c r="G3169" s="3" t="s">
        <v>144</v>
      </c>
      <c r="H3169" s="2" t="s">
        <v>21</v>
      </c>
      <c r="I3169" s="2" t="s">
        <v>7575</v>
      </c>
      <c r="J3169" s="3" t="str">
        <f>HYPERLINK("https://www.boe.es/gazeta/dias/1817/04/29/pdfs/GMD-1817-51.pdf#page=4","Abrir facsímil")</f>
        <v>Abrir facsímil</v>
      </c>
      <c r="K3169" s="3" t="s">
        <v>23</v>
      </c>
    </row>
    <row r="3170" spans="1:11" ht="42" customHeight="1">
      <c r="A3170" s="2" t="s">
        <v>7576</v>
      </c>
      <c r="B3170" s="2" t="s">
        <v>7577</v>
      </c>
      <c r="C3170" s="2" t="s">
        <v>17</v>
      </c>
      <c r="D3170" s="2" t="s">
        <v>18</v>
      </c>
      <c r="E3170" s="5">
        <v>-29964</v>
      </c>
      <c r="F3170" s="3" t="s">
        <v>482</v>
      </c>
      <c r="G3170" s="3" t="s">
        <v>77</v>
      </c>
      <c r="H3170" s="2" t="s">
        <v>21</v>
      </c>
      <c r="I3170" s="2" t="s">
        <v>7578</v>
      </c>
      <c r="J3170" s="3" t="str">
        <f>HYPERLINK("https://www.boe.es/gazeta/dias/1817/12/16/pdfs/GMD-1817-150.pdf#page=8","Abrir facsímil")</f>
        <v>Abrir facsímil</v>
      </c>
      <c r="K3170" s="3" t="s">
        <v>23</v>
      </c>
    </row>
    <row r="3171" spans="1:11" ht="42" customHeight="1">
      <c r="A3171" s="2" t="s">
        <v>7579</v>
      </c>
      <c r="B3171" s="2" t="s">
        <v>7580</v>
      </c>
      <c r="C3171" s="2" t="s">
        <v>43</v>
      </c>
      <c r="D3171" s="2" t="s">
        <v>44</v>
      </c>
      <c r="E3171" s="5">
        <v>-29964</v>
      </c>
      <c r="F3171" s="3" t="s">
        <v>482</v>
      </c>
      <c r="G3171" s="3" t="s">
        <v>77</v>
      </c>
      <c r="H3171" s="2" t="s">
        <v>21</v>
      </c>
      <c r="I3171" s="2" t="s">
        <v>7581</v>
      </c>
      <c r="J3171" s="3" t="str">
        <f>HYPERLINK("https://www.boe.es/gazeta/dias/1817/12/16/pdfs/GMD-1817-150.pdf#page=8","Abrir facsímil")</f>
        <v>Abrir facsímil</v>
      </c>
      <c r="K3171" s="3" t="s">
        <v>23</v>
      </c>
    </row>
    <row r="3172" spans="1:11" ht="42" customHeight="1">
      <c r="A3172" s="2" t="s">
        <v>7582</v>
      </c>
      <c r="B3172" s="2" t="s">
        <v>7583</v>
      </c>
      <c r="C3172" s="2" t="s">
        <v>36</v>
      </c>
      <c r="D3172" s="2" t="s">
        <v>37</v>
      </c>
      <c r="E3172" s="5">
        <v>-30177</v>
      </c>
      <c r="F3172" s="3" t="s">
        <v>633</v>
      </c>
      <c r="G3172" s="3" t="s">
        <v>77</v>
      </c>
      <c r="H3172" s="2" t="s">
        <v>21</v>
      </c>
      <c r="I3172" s="2" t="s">
        <v>7584</v>
      </c>
      <c r="J3172" s="3" t="str">
        <f>HYPERLINK("https://www.boe.es/gazeta/dias/1817/05/17/pdfs/GMD-1817-59.pdf#page=8","Abrir facsímil")</f>
        <v>Abrir facsímil</v>
      </c>
      <c r="K3172" s="3" t="s">
        <v>23</v>
      </c>
    </row>
    <row r="3173" spans="1:11" ht="42" customHeight="1">
      <c r="A3173" s="2" t="s">
        <v>7585</v>
      </c>
      <c r="B3173" s="2" t="s">
        <v>7585</v>
      </c>
      <c r="C3173" s="2" t="s">
        <v>510</v>
      </c>
      <c r="D3173" s="2" t="s">
        <v>44</v>
      </c>
      <c r="E3173" s="5">
        <v>-30305</v>
      </c>
      <c r="F3173" s="3" t="s">
        <v>405</v>
      </c>
      <c r="G3173" s="3" t="s">
        <v>77</v>
      </c>
      <c r="H3173" s="2" t="s">
        <v>21</v>
      </c>
      <c r="I3173" s="2" t="s">
        <v>7586</v>
      </c>
      <c r="J3173" s="3" t="str">
        <f>HYPERLINK("https://www.boe.es/gazeta/dias/1817/01/09/pdfs/GMD-1817-4.pdf#page=8","Abrir facsímil")</f>
        <v>Abrir facsímil</v>
      </c>
      <c r="K3173" s="3" t="s">
        <v>23</v>
      </c>
    </row>
    <row r="3174" spans="1:11" ht="42" customHeight="1">
      <c r="A3174" s="2" t="s">
        <v>7585</v>
      </c>
      <c r="B3174" s="2" t="s">
        <v>7585</v>
      </c>
      <c r="C3174" s="2" t="s">
        <v>510</v>
      </c>
      <c r="D3174" s="2" t="s">
        <v>44</v>
      </c>
      <c r="E3174" s="5">
        <v>-29964</v>
      </c>
      <c r="F3174" s="3" t="s">
        <v>482</v>
      </c>
      <c r="G3174" s="3" t="s">
        <v>483</v>
      </c>
      <c r="H3174" s="2" t="s">
        <v>21</v>
      </c>
      <c r="I3174" s="2" t="s">
        <v>7587</v>
      </c>
      <c r="J3174" s="3" t="str">
        <f>HYPERLINK("https://www.boe.es/gazeta/dias/1817/12/16/pdfs/GMD-1817-150.pdf#page=12","Abrir facsímil")</f>
        <v>Abrir facsímil</v>
      </c>
      <c r="K3174" s="3" t="s">
        <v>23</v>
      </c>
    </row>
    <row r="3175" spans="1:11" ht="42" customHeight="1">
      <c r="A3175" s="2" t="s">
        <v>7588</v>
      </c>
      <c r="B3175" s="2" t="s">
        <v>7589</v>
      </c>
      <c r="C3175" s="2" t="s">
        <v>43</v>
      </c>
      <c r="D3175" s="2" t="s">
        <v>44</v>
      </c>
      <c r="E3175" s="5">
        <v>-30130</v>
      </c>
      <c r="F3175" s="3" t="s">
        <v>768</v>
      </c>
      <c r="G3175" s="3" t="s">
        <v>39</v>
      </c>
      <c r="H3175" s="2" t="s">
        <v>21</v>
      </c>
      <c r="I3175" s="2" t="s">
        <v>7590</v>
      </c>
      <c r="J3175" s="3" t="str">
        <f>HYPERLINK("https://www.boe.es/gazeta/dias/1817/07/03/pdfs/GMD-1817-79.pdf#page=5","Abrir facsímil")</f>
        <v>Abrir facsímil</v>
      </c>
      <c r="K3175" s="3" t="s">
        <v>23</v>
      </c>
    </row>
    <row r="3176" spans="1:11" ht="42" customHeight="1">
      <c r="A3176" s="2" t="s">
        <v>7591</v>
      </c>
      <c r="B3176" s="2" t="s">
        <v>7592</v>
      </c>
      <c r="C3176" s="2" t="s">
        <v>36</v>
      </c>
      <c r="D3176" s="2" t="s">
        <v>37</v>
      </c>
      <c r="E3176" s="5">
        <v>-30081</v>
      </c>
      <c r="F3176" s="3" t="s">
        <v>133</v>
      </c>
      <c r="G3176" s="3" t="s">
        <v>20</v>
      </c>
      <c r="H3176" s="2" t="s">
        <v>21</v>
      </c>
      <c r="I3176" s="2" t="s">
        <v>7593</v>
      </c>
      <c r="J3176" s="3" t="str">
        <f>HYPERLINK("https://www.boe.es/gazeta/dias/1817/08/21/pdfs/GMD-1817-100.pdf#page=7","Abrir facsímil")</f>
        <v>Abrir facsímil</v>
      </c>
      <c r="K3176" s="3" t="s">
        <v>23</v>
      </c>
    </row>
    <row r="3177" spans="1:11" ht="42" customHeight="1">
      <c r="A3177" s="2" t="s">
        <v>7594</v>
      </c>
      <c r="B3177" s="2" t="s">
        <v>7595</v>
      </c>
      <c r="C3177" s="2" t="s">
        <v>36</v>
      </c>
      <c r="D3177" s="2" t="s">
        <v>37</v>
      </c>
      <c r="E3177" s="5">
        <v>-30188</v>
      </c>
      <c r="F3177" s="3" t="s">
        <v>177</v>
      </c>
      <c r="G3177" s="3" t="s">
        <v>144</v>
      </c>
      <c r="H3177" s="2" t="s">
        <v>21</v>
      </c>
      <c r="I3177" s="2" t="s">
        <v>7596</v>
      </c>
      <c r="J3177" s="3" t="str">
        <f>HYPERLINK("https://www.boe.es/gazeta/dias/1817/05/06/pdfs/GMD-1817-54.pdf#page=4","Abrir facsímil")</f>
        <v>Abrir facsímil</v>
      </c>
      <c r="K3177" s="3" t="s">
        <v>23</v>
      </c>
    </row>
    <row r="3178" spans="1:11" ht="42" customHeight="1">
      <c r="A3178" s="2" t="s">
        <v>7597</v>
      </c>
      <c r="B3178" s="2" t="s">
        <v>7598</v>
      </c>
      <c r="C3178" s="2" t="s">
        <v>36</v>
      </c>
      <c r="D3178" s="2" t="s">
        <v>37</v>
      </c>
      <c r="E3178" s="5">
        <v>-30284</v>
      </c>
      <c r="F3178" s="3" t="s">
        <v>741</v>
      </c>
      <c r="G3178" s="3" t="s">
        <v>742</v>
      </c>
      <c r="H3178" s="2" t="s">
        <v>21</v>
      </c>
      <c r="I3178" s="2" t="s">
        <v>7599</v>
      </c>
      <c r="J3178" s="3" t="str">
        <f>HYPERLINK("https://www.boe.es/gazeta/dias/1817/01/30/pdfs/GMD-1817-13.pdf#page=4","Abrir facsímil")</f>
        <v>Abrir facsímil</v>
      </c>
      <c r="K3178" s="3" t="s">
        <v>23</v>
      </c>
    </row>
    <row r="3179" spans="1:11" ht="42" customHeight="1">
      <c r="A3179" s="2" t="s">
        <v>7600</v>
      </c>
      <c r="B3179" s="2" t="s">
        <v>7601</v>
      </c>
      <c r="C3179" s="2" t="s">
        <v>36</v>
      </c>
      <c r="D3179" s="2" t="s">
        <v>37</v>
      </c>
      <c r="E3179" s="5">
        <v>-30284</v>
      </c>
      <c r="F3179" s="3" t="s">
        <v>741</v>
      </c>
      <c r="G3179" s="3" t="s">
        <v>742</v>
      </c>
      <c r="H3179" s="2" t="s">
        <v>21</v>
      </c>
      <c r="I3179" s="2" t="s">
        <v>7602</v>
      </c>
      <c r="J3179" s="3" t="str">
        <f>HYPERLINK("https://www.boe.es/gazeta/dias/1817/01/30/pdfs/GMD-1817-13.pdf#page=4","Abrir facsímil")</f>
        <v>Abrir facsímil</v>
      </c>
      <c r="K3179" s="3" t="s">
        <v>23</v>
      </c>
    </row>
    <row r="3180" spans="1:11" ht="42" customHeight="1">
      <c r="A3180" s="2" t="s">
        <v>7603</v>
      </c>
      <c r="B3180" s="2" t="s">
        <v>7604</v>
      </c>
      <c r="C3180" s="2" t="s">
        <v>43</v>
      </c>
      <c r="D3180" s="2" t="s">
        <v>44</v>
      </c>
      <c r="E3180" s="5">
        <v>-30160</v>
      </c>
      <c r="F3180" s="3" t="s">
        <v>116</v>
      </c>
      <c r="G3180" s="3" t="s">
        <v>144</v>
      </c>
      <c r="H3180" s="2" t="s">
        <v>21</v>
      </c>
      <c r="I3180" s="2" t="s">
        <v>7605</v>
      </c>
      <c r="J3180" s="3" t="str">
        <f>HYPERLINK("https://www.boe.es/gazeta/dias/1817/06/03/pdfs/GMD-1817-66.pdf#page=4","Abrir facsímil")</f>
        <v>Abrir facsímil</v>
      </c>
      <c r="K3180" s="3" t="s">
        <v>23</v>
      </c>
    </row>
    <row r="3181" spans="1:11" ht="42" customHeight="1">
      <c r="A3181" s="2" t="s">
        <v>7606</v>
      </c>
      <c r="B3181" s="2" t="s">
        <v>7607</v>
      </c>
      <c r="C3181" s="2" t="s">
        <v>43</v>
      </c>
      <c r="D3181" s="2" t="s">
        <v>44</v>
      </c>
      <c r="E3181" s="5">
        <v>-30303</v>
      </c>
      <c r="F3181" s="3" t="s">
        <v>407</v>
      </c>
      <c r="G3181" s="3" t="s">
        <v>39</v>
      </c>
      <c r="H3181" s="2" t="s">
        <v>21</v>
      </c>
      <c r="I3181" s="2" t="s">
        <v>7608</v>
      </c>
      <c r="J3181" s="3" t="str">
        <f>HYPERLINK("https://www.boe.es/gazeta/dias/1817/01/11/pdfs/GMD-1817-5.pdf#page=5","Abrir facsímil")</f>
        <v>Abrir facsímil</v>
      </c>
      <c r="K3181" s="3" t="s">
        <v>23</v>
      </c>
    </row>
    <row r="3182" spans="1:11" ht="42" customHeight="1">
      <c r="A3182" s="2" t="s">
        <v>7609</v>
      </c>
      <c r="B3182" s="2" t="s">
        <v>7610</v>
      </c>
      <c r="C3182" s="2" t="s">
        <v>36</v>
      </c>
      <c r="D3182" s="2" t="s">
        <v>37</v>
      </c>
      <c r="E3182" s="5">
        <v>-29950</v>
      </c>
      <c r="F3182" s="3" t="s">
        <v>185</v>
      </c>
      <c r="G3182" s="3" t="s">
        <v>39</v>
      </c>
      <c r="H3182" s="2" t="s">
        <v>21</v>
      </c>
      <c r="I3182" s="2" t="s">
        <v>7611</v>
      </c>
      <c r="J3182" s="3" t="str">
        <f>HYPERLINK("https://www.boe.es/gazeta/dias/1817/12/30/pdfs/GMD-1817-156.pdf#page=5","Abrir facsímil")</f>
        <v>Abrir facsímil</v>
      </c>
      <c r="K3182" s="3" t="s">
        <v>23</v>
      </c>
    </row>
    <row r="3183" spans="1:11" ht="42" customHeight="1">
      <c r="A3183" s="2" t="s">
        <v>7609</v>
      </c>
      <c r="B3183" s="2" t="s">
        <v>7610</v>
      </c>
      <c r="C3183" s="2" t="s">
        <v>36</v>
      </c>
      <c r="D3183" s="2" t="s">
        <v>37</v>
      </c>
      <c r="E3183" s="5">
        <v>-29950</v>
      </c>
      <c r="F3183" s="3" t="s">
        <v>185</v>
      </c>
      <c r="G3183" s="3" t="s">
        <v>57</v>
      </c>
      <c r="H3183" s="2" t="s">
        <v>21</v>
      </c>
      <c r="I3183" s="2" t="s">
        <v>7612</v>
      </c>
      <c r="J3183" s="3" t="str">
        <f>HYPERLINK("https://www.boe.es/gazeta/dias/1817/12/30/pdfs/GMD-1817-156.pdf#page=6","Abrir facsímil")</f>
        <v>Abrir facsímil</v>
      </c>
      <c r="K3183" s="3" t="s">
        <v>23</v>
      </c>
    </row>
    <row r="3184" spans="1:11" ht="42" customHeight="1">
      <c r="A3184" s="2" t="s">
        <v>7613</v>
      </c>
      <c r="B3184" s="2" t="s">
        <v>7614</v>
      </c>
      <c r="C3184" s="2" t="s">
        <v>43</v>
      </c>
      <c r="D3184" s="2" t="s">
        <v>44</v>
      </c>
      <c r="E3184" s="5">
        <v>-30062</v>
      </c>
      <c r="F3184" s="3" t="s">
        <v>444</v>
      </c>
      <c r="G3184" s="3" t="s">
        <v>112</v>
      </c>
      <c r="H3184" s="2" t="s">
        <v>21</v>
      </c>
      <c r="I3184" s="2" t="s">
        <v>7615</v>
      </c>
      <c r="J3184" s="3" t="str">
        <f>HYPERLINK("https://www.boe.es/gazeta/dias/1817/09/09/pdfs/GMD-1817-108.pdf#page=11","Abrir facsímil")</f>
        <v>Abrir facsímil</v>
      </c>
      <c r="K3184" s="3" t="s">
        <v>23</v>
      </c>
    </row>
    <row r="3185" spans="1:11" ht="42" customHeight="1">
      <c r="A3185" s="2" t="s">
        <v>7616</v>
      </c>
      <c r="B3185" s="2" t="s">
        <v>7617</v>
      </c>
      <c r="C3185" s="2" t="s">
        <v>36</v>
      </c>
      <c r="D3185" s="2" t="s">
        <v>37</v>
      </c>
      <c r="E3185" s="5">
        <v>-30254</v>
      </c>
      <c r="F3185" s="3" t="s">
        <v>124</v>
      </c>
      <c r="G3185" s="3" t="s">
        <v>3053</v>
      </c>
      <c r="H3185" s="2" t="s">
        <v>21</v>
      </c>
      <c r="I3185" s="2" t="s">
        <v>7618</v>
      </c>
      <c r="J3185" s="3" t="str">
        <f>HYPERLINK("https://www.boe.es/gazeta/dias/1817/03/01/pdfs/GMD-1817-26.pdf#page=8","Abrir facsímil")</f>
        <v>Abrir facsímil</v>
      </c>
      <c r="K3185" s="3" t="s">
        <v>23</v>
      </c>
    </row>
    <row r="3186" spans="1:11" ht="42" customHeight="1">
      <c r="A3186" s="2" t="s">
        <v>7619</v>
      </c>
      <c r="B3186" s="2" t="s">
        <v>7620</v>
      </c>
      <c r="C3186" s="2" t="s">
        <v>17</v>
      </c>
      <c r="D3186" s="2" t="s">
        <v>18</v>
      </c>
      <c r="E3186" s="5">
        <v>-30263</v>
      </c>
      <c r="F3186" s="3" t="s">
        <v>1794</v>
      </c>
      <c r="G3186" s="3" t="s">
        <v>4496</v>
      </c>
      <c r="H3186" s="2" t="s">
        <v>21</v>
      </c>
      <c r="I3186" s="2" t="s">
        <v>7621</v>
      </c>
      <c r="J3186" s="3" t="str">
        <f>HYPERLINK("https://www.boe.es/gazeta/dias/1817/02/20/pdfs/GMD-1817-22.pdf#page=8","Abrir facsímil")</f>
        <v>Abrir facsímil</v>
      </c>
      <c r="K3186" s="3" t="s">
        <v>23</v>
      </c>
    </row>
    <row r="3187" spans="1:11" ht="42" customHeight="1">
      <c r="A3187" s="2" t="s">
        <v>7619</v>
      </c>
      <c r="B3187" s="2" t="s">
        <v>7620</v>
      </c>
      <c r="C3187" s="2" t="s">
        <v>17</v>
      </c>
      <c r="D3187" s="2" t="s">
        <v>18</v>
      </c>
      <c r="E3187" s="5">
        <v>-30247</v>
      </c>
      <c r="F3187" s="3" t="s">
        <v>1796</v>
      </c>
      <c r="G3187" s="3" t="s">
        <v>3311</v>
      </c>
      <c r="H3187" s="2" t="s">
        <v>21</v>
      </c>
      <c r="I3187" s="2" t="s">
        <v>7622</v>
      </c>
      <c r="J3187" s="3" t="str">
        <f>HYPERLINK("https://www.boe.es/gazeta/dias/1817/03/08/pdfs/GMD-1817-29.pdf#page=8","Abrir facsímil")</f>
        <v>Abrir facsímil</v>
      </c>
      <c r="K3187" s="3" t="s">
        <v>23</v>
      </c>
    </row>
    <row r="3188" spans="1:11" ht="42" customHeight="1">
      <c r="A3188" s="2" t="s">
        <v>7623</v>
      </c>
      <c r="B3188" s="2" t="s">
        <v>7624</v>
      </c>
      <c r="C3188" s="2" t="s">
        <v>36</v>
      </c>
      <c r="D3188" s="2" t="s">
        <v>37</v>
      </c>
      <c r="E3188" s="5">
        <v>-30011</v>
      </c>
      <c r="F3188" s="3" t="s">
        <v>313</v>
      </c>
      <c r="G3188" s="3" t="s">
        <v>887</v>
      </c>
      <c r="H3188" s="2" t="s">
        <v>21</v>
      </c>
      <c r="I3188" s="2" t="s">
        <v>7625</v>
      </c>
      <c r="J3188" s="3" t="str">
        <f>HYPERLINK("https://www.boe.es/gazeta/dias/1817/10/30/pdfs/GMD-1817-130.pdf#page=9","Abrir facsímil")</f>
        <v>Abrir facsímil</v>
      </c>
      <c r="K3188" s="3" t="s">
        <v>23</v>
      </c>
    </row>
    <row r="3189" spans="1:11" ht="42" customHeight="1">
      <c r="A3189" s="2" t="s">
        <v>7626</v>
      </c>
      <c r="B3189" s="2" t="s">
        <v>7627</v>
      </c>
      <c r="C3189" s="2" t="s">
        <v>36</v>
      </c>
      <c r="D3189" s="2" t="s">
        <v>37</v>
      </c>
      <c r="E3189" s="5">
        <v>-30298</v>
      </c>
      <c r="F3189" s="3" t="s">
        <v>489</v>
      </c>
      <c r="G3189" s="3" t="s">
        <v>644</v>
      </c>
      <c r="H3189" s="2" t="s">
        <v>21</v>
      </c>
      <c r="I3189" s="2" t="s">
        <v>7628</v>
      </c>
      <c r="J3189" s="3" t="str">
        <f>HYPERLINK("https://www.boe.es/gazeta/dias/1817/01/16/pdfs/GMD-1817-7.pdf#page=5","Abrir facsímil")</f>
        <v>Abrir facsímil</v>
      </c>
      <c r="K3189" s="3" t="s">
        <v>23</v>
      </c>
    </row>
    <row r="3190" spans="1:11" ht="42" customHeight="1">
      <c r="A3190" s="2" t="s">
        <v>7629</v>
      </c>
      <c r="B3190" s="2" t="s">
        <v>7630</v>
      </c>
      <c r="C3190" s="2" t="s">
        <v>36</v>
      </c>
      <c r="D3190" s="2" t="s">
        <v>37</v>
      </c>
      <c r="E3190" s="5">
        <v>-30298</v>
      </c>
      <c r="F3190" s="3" t="s">
        <v>489</v>
      </c>
      <c r="G3190" s="3" t="s">
        <v>644</v>
      </c>
      <c r="H3190" s="2" t="s">
        <v>21</v>
      </c>
      <c r="I3190" s="2" t="s">
        <v>7631</v>
      </c>
      <c r="J3190" s="3" t="str">
        <f>HYPERLINK("https://www.boe.es/gazeta/dias/1817/01/16/pdfs/GMD-1817-7.pdf#page=5","Abrir facsímil")</f>
        <v>Abrir facsímil</v>
      </c>
      <c r="K3190" s="3" t="s">
        <v>23</v>
      </c>
    </row>
    <row r="3191" spans="1:11" ht="42" customHeight="1">
      <c r="A3191" s="2" t="s">
        <v>7632</v>
      </c>
      <c r="B3191" s="2" t="s">
        <v>7632</v>
      </c>
      <c r="C3191" s="2" t="s">
        <v>17</v>
      </c>
      <c r="D3191" s="2" t="s">
        <v>18</v>
      </c>
      <c r="E3191" s="5">
        <v>-30268</v>
      </c>
      <c r="F3191" s="3" t="s">
        <v>1160</v>
      </c>
      <c r="G3191" s="3" t="s">
        <v>39</v>
      </c>
      <c r="H3191" s="2" t="s">
        <v>21</v>
      </c>
      <c r="I3191" s="2" t="s">
        <v>7633</v>
      </c>
      <c r="J3191" s="3" t="str">
        <f>HYPERLINK("https://www.boe.es/gazeta/dias/1817/02/15/pdfs/GMD-1817-20.pdf#page=5","Abrir facsímil")</f>
        <v>Abrir facsímil</v>
      </c>
      <c r="K3191" s="3" t="s">
        <v>23</v>
      </c>
    </row>
    <row r="3192" spans="1:11" ht="42" customHeight="1">
      <c r="A3192" s="2" t="s">
        <v>7632</v>
      </c>
      <c r="B3192" s="2" t="s">
        <v>7632</v>
      </c>
      <c r="C3192" s="2" t="s">
        <v>138</v>
      </c>
      <c r="D3192" s="2" t="s">
        <v>44</v>
      </c>
      <c r="E3192" s="5">
        <v>-30163</v>
      </c>
      <c r="F3192" s="3" t="s">
        <v>166</v>
      </c>
      <c r="G3192" s="3" t="s">
        <v>39</v>
      </c>
      <c r="H3192" s="2" t="s">
        <v>21</v>
      </c>
      <c r="I3192" s="2" t="s">
        <v>7634</v>
      </c>
      <c r="J3192" s="3" t="str">
        <f>HYPERLINK("https://www.boe.es/gazeta/dias/1817/05/31/pdfs/GMD-1817-65.pdf#page=5","Abrir facsímil")</f>
        <v>Abrir facsímil</v>
      </c>
      <c r="K3192" s="3" t="s">
        <v>23</v>
      </c>
    </row>
    <row r="3193" spans="1:11" ht="42" customHeight="1">
      <c r="A3193" s="2" t="s">
        <v>7635</v>
      </c>
      <c r="B3193" s="2" t="s">
        <v>7636</v>
      </c>
      <c r="C3193" s="2" t="s">
        <v>17</v>
      </c>
      <c r="D3193" s="2" t="s">
        <v>18</v>
      </c>
      <c r="E3193" s="5">
        <v>-30048</v>
      </c>
      <c r="F3193" s="3" t="s">
        <v>573</v>
      </c>
      <c r="G3193" s="3" t="s">
        <v>77</v>
      </c>
      <c r="H3193" s="2" t="s">
        <v>21</v>
      </c>
      <c r="I3193" s="2" t="s">
        <v>7637</v>
      </c>
      <c r="J3193" s="3" t="str">
        <f>HYPERLINK("https://www.boe.es/gazeta/dias/1817/09/23/pdfs/GMD-1817-114.pdf#page=8","Abrir facsímil")</f>
        <v>Abrir facsímil</v>
      </c>
      <c r="K3193" s="3" t="s">
        <v>23</v>
      </c>
    </row>
    <row r="3194" spans="1:11" ht="42" customHeight="1">
      <c r="A3194" s="2" t="s">
        <v>7638</v>
      </c>
      <c r="B3194" s="2" t="s">
        <v>7639</v>
      </c>
      <c r="C3194" s="2" t="s">
        <v>36</v>
      </c>
      <c r="D3194" s="2" t="s">
        <v>37</v>
      </c>
      <c r="E3194" s="5">
        <v>-30048</v>
      </c>
      <c r="F3194" s="3" t="s">
        <v>573</v>
      </c>
      <c r="G3194" s="3" t="s">
        <v>20</v>
      </c>
      <c r="H3194" s="2" t="s">
        <v>27</v>
      </c>
      <c r="I3194" s="2" t="s">
        <v>7640</v>
      </c>
      <c r="J3194" s="3" t="str">
        <f>HYPERLINK("https://www.boe.es/gazeta/dias/1817/09/23/pdfs/GMD-1817-114.pdf#page=7","Abrir facsímil")</f>
        <v>Abrir facsímil</v>
      </c>
      <c r="K3194" s="3" t="s">
        <v>29</v>
      </c>
    </row>
    <row r="3195" spans="1:11" ht="42" customHeight="1">
      <c r="A3195" s="2" t="s">
        <v>7641</v>
      </c>
      <c r="B3195" s="2" t="s">
        <v>7642</v>
      </c>
      <c r="C3195" s="2" t="s">
        <v>36</v>
      </c>
      <c r="D3195" s="2" t="s">
        <v>37</v>
      </c>
      <c r="E3195" s="5">
        <v>-30300</v>
      </c>
      <c r="F3195" s="3" t="s">
        <v>164</v>
      </c>
      <c r="G3195" s="3" t="s">
        <v>20</v>
      </c>
      <c r="H3195" s="2" t="s">
        <v>21</v>
      </c>
      <c r="I3195" s="2" t="s">
        <v>7643</v>
      </c>
      <c r="J3195" s="3" t="str">
        <f>HYPERLINK("https://www.boe.es/gazeta/dias/1817/01/14/pdfs/GMD-1817-6.pdf#page=7","Abrir facsímil")</f>
        <v>Abrir facsímil</v>
      </c>
      <c r="K3195" s="3" t="s">
        <v>23</v>
      </c>
    </row>
    <row r="3196" spans="1:11" ht="42" customHeight="1">
      <c r="A3196" s="2" t="s">
        <v>7644</v>
      </c>
      <c r="B3196" s="2" t="s">
        <v>7644</v>
      </c>
      <c r="C3196" s="2" t="s">
        <v>36</v>
      </c>
      <c r="D3196" s="2" t="s">
        <v>37</v>
      </c>
      <c r="E3196" s="5">
        <v>-29950</v>
      </c>
      <c r="F3196" s="3" t="s">
        <v>185</v>
      </c>
      <c r="G3196" s="3" t="s">
        <v>39</v>
      </c>
      <c r="H3196" s="2" t="s">
        <v>21</v>
      </c>
      <c r="I3196" s="2" t="s">
        <v>7645</v>
      </c>
      <c r="J3196" s="3" t="str">
        <f>HYPERLINK("https://www.boe.es/gazeta/dias/1817/12/30/pdfs/GMD-1817-156.pdf#page=5","Abrir facsímil")</f>
        <v>Abrir facsímil</v>
      </c>
      <c r="K3196" s="3" t="s">
        <v>23</v>
      </c>
    </row>
    <row r="3197" spans="1:11" ht="42" customHeight="1">
      <c r="A3197" s="2" t="s">
        <v>7646</v>
      </c>
      <c r="B3197" s="2" t="s">
        <v>7647</v>
      </c>
      <c r="C3197" s="2" t="s">
        <v>43</v>
      </c>
      <c r="D3197" s="2" t="s">
        <v>44</v>
      </c>
      <c r="E3197" s="5">
        <v>-30286</v>
      </c>
      <c r="F3197" s="3" t="s">
        <v>354</v>
      </c>
      <c r="G3197" s="3" t="s">
        <v>57</v>
      </c>
      <c r="H3197" s="2" t="s">
        <v>21</v>
      </c>
      <c r="I3197" s="2" t="s">
        <v>7648</v>
      </c>
      <c r="J3197" s="3" t="str">
        <f>HYPERLINK("https://www.boe.es/gazeta/dias/1817/01/28/pdfs/GMD-1817-12.pdf#page=6","Abrir facsímil")</f>
        <v>Abrir facsímil</v>
      </c>
      <c r="K3197" s="3" t="s">
        <v>23</v>
      </c>
    </row>
    <row r="3198" spans="1:11" ht="42" customHeight="1">
      <c r="A3198" s="2" t="s">
        <v>7649</v>
      </c>
      <c r="B3198" s="2" t="s">
        <v>7650</v>
      </c>
      <c r="C3198" s="2" t="s">
        <v>36</v>
      </c>
      <c r="D3198" s="2" t="s">
        <v>37</v>
      </c>
      <c r="E3198" s="5">
        <v>-29950</v>
      </c>
      <c r="F3198" s="3" t="s">
        <v>185</v>
      </c>
      <c r="G3198" s="3" t="s">
        <v>39</v>
      </c>
      <c r="H3198" s="2" t="s">
        <v>21</v>
      </c>
      <c r="I3198" s="2" t="s">
        <v>7651</v>
      </c>
      <c r="J3198" s="3" t="str">
        <f>HYPERLINK("https://www.boe.es/gazeta/dias/1817/12/30/pdfs/GMD-1817-156.pdf#page=5","Abrir facsímil")</f>
        <v>Abrir facsímil</v>
      </c>
      <c r="K3198" s="3" t="s">
        <v>23</v>
      </c>
    </row>
    <row r="3199" spans="1:11" ht="42" customHeight="1">
      <c r="A3199" s="2" t="s">
        <v>7652</v>
      </c>
      <c r="B3199" s="2" t="s">
        <v>7653</v>
      </c>
      <c r="C3199" s="2" t="s">
        <v>17</v>
      </c>
      <c r="D3199" s="2" t="s">
        <v>18</v>
      </c>
      <c r="E3199" s="5">
        <v>-30233</v>
      </c>
      <c r="F3199" s="3" t="s">
        <v>577</v>
      </c>
      <c r="G3199" s="3" t="s">
        <v>20</v>
      </c>
      <c r="H3199" s="2" t="s">
        <v>21</v>
      </c>
      <c r="I3199" s="2" t="s">
        <v>7654</v>
      </c>
      <c r="J3199" s="3" t="str">
        <f>HYPERLINK("https://www.boe.es/gazeta/dias/1817/03/22/pdfs/GMD-1817-35.pdf#page=7","Abrir facsímil")</f>
        <v>Abrir facsímil</v>
      </c>
      <c r="K3199" s="3" t="s">
        <v>23</v>
      </c>
    </row>
    <row r="3200" spans="1:11" ht="42" customHeight="1">
      <c r="A3200" s="2" t="s">
        <v>7655</v>
      </c>
      <c r="B3200" s="2" t="s">
        <v>7656</v>
      </c>
      <c r="C3200" s="2" t="s">
        <v>36</v>
      </c>
      <c r="D3200" s="2" t="s">
        <v>37</v>
      </c>
      <c r="E3200" s="5">
        <v>-30289</v>
      </c>
      <c r="F3200" s="3" t="s">
        <v>193</v>
      </c>
      <c r="G3200" s="3" t="s">
        <v>20</v>
      </c>
      <c r="H3200" s="2" t="s">
        <v>21</v>
      </c>
      <c r="I3200" s="2" t="s">
        <v>7657</v>
      </c>
      <c r="J3200" s="3" t="str">
        <f>HYPERLINK("https://www.boe.es/gazeta/dias/1817/01/25/pdfs/GMD-1817-11.pdf#page=7","Abrir facsímil")</f>
        <v>Abrir facsímil</v>
      </c>
      <c r="K3200" s="3" t="s">
        <v>23</v>
      </c>
    </row>
    <row r="3201" spans="1:11" ht="42" customHeight="1">
      <c r="A3201" s="2" t="s">
        <v>7658</v>
      </c>
      <c r="B3201" s="2" t="s">
        <v>7658</v>
      </c>
      <c r="C3201" s="2" t="s">
        <v>36</v>
      </c>
      <c r="D3201" s="2" t="s">
        <v>37</v>
      </c>
      <c r="E3201" s="5">
        <v>-30223</v>
      </c>
      <c r="F3201" s="3" t="s">
        <v>627</v>
      </c>
      <c r="G3201" s="3" t="s">
        <v>1721</v>
      </c>
      <c r="H3201" s="2" t="s">
        <v>21</v>
      </c>
      <c r="I3201" s="2" t="s">
        <v>7659</v>
      </c>
      <c r="J3201" s="3" t="str">
        <f>HYPERLINK("https://www.boe.es/gazeta/dias/1817/04/01/pdfs/GMD-1817-39.pdf#page=7","Abrir facsímil")</f>
        <v>Abrir facsímil</v>
      </c>
      <c r="K3201" s="3" t="s">
        <v>23</v>
      </c>
    </row>
    <row r="3202" spans="1:11" ht="42" customHeight="1">
      <c r="A3202" s="2" t="s">
        <v>7660</v>
      </c>
      <c r="B3202" s="2" t="s">
        <v>7661</v>
      </c>
      <c r="C3202" s="2" t="s">
        <v>36</v>
      </c>
      <c r="D3202" s="2" t="s">
        <v>37</v>
      </c>
      <c r="E3202" s="5">
        <v>-30116</v>
      </c>
      <c r="F3202" s="3" t="s">
        <v>319</v>
      </c>
      <c r="G3202" s="3" t="s">
        <v>39</v>
      </c>
      <c r="H3202" s="2" t="s">
        <v>21</v>
      </c>
      <c r="I3202" s="2" t="s">
        <v>7662</v>
      </c>
      <c r="J3202" s="3" t="str">
        <f>HYPERLINK("https://www.boe.es/gazeta/dias/1817/07/17/pdfs/GMD-1817-85.pdf#page=5","Abrir facsímil")</f>
        <v>Abrir facsímil</v>
      </c>
      <c r="K3202" s="3" t="s">
        <v>23</v>
      </c>
    </row>
    <row r="3203" spans="1:11" ht="42" customHeight="1">
      <c r="A3203" s="2" t="s">
        <v>7660</v>
      </c>
      <c r="B3203" s="2" t="s">
        <v>7661</v>
      </c>
      <c r="C3203" s="2" t="s">
        <v>36</v>
      </c>
      <c r="D3203" s="2" t="s">
        <v>37</v>
      </c>
      <c r="E3203" s="5">
        <v>-30116</v>
      </c>
      <c r="F3203" s="3" t="s">
        <v>319</v>
      </c>
      <c r="G3203" s="3" t="s">
        <v>57</v>
      </c>
      <c r="H3203" s="2" t="s">
        <v>21</v>
      </c>
      <c r="I3203" s="2" t="s">
        <v>7663</v>
      </c>
      <c r="J3203" s="3" t="str">
        <f>HYPERLINK("https://www.boe.es/gazeta/dias/1817/07/17/pdfs/GMD-1817-85.pdf#page=6","Abrir facsímil")</f>
        <v>Abrir facsímil</v>
      </c>
      <c r="K3203" s="3" t="s">
        <v>23</v>
      </c>
    </row>
    <row r="3204" spans="1:11" ht="42" customHeight="1">
      <c r="A3204" s="2" t="s">
        <v>7664</v>
      </c>
      <c r="B3204" s="2" t="s">
        <v>7665</v>
      </c>
      <c r="C3204" s="2" t="s">
        <v>43</v>
      </c>
      <c r="D3204" s="2" t="s">
        <v>44</v>
      </c>
      <c r="E3204" s="5">
        <v>-30284</v>
      </c>
      <c r="F3204" s="3" t="s">
        <v>741</v>
      </c>
      <c r="G3204" s="3" t="s">
        <v>742</v>
      </c>
      <c r="H3204" s="2" t="s">
        <v>21</v>
      </c>
      <c r="I3204" s="2" t="s">
        <v>7666</v>
      </c>
      <c r="J3204" s="3" t="str">
        <f>HYPERLINK("https://www.boe.es/gazeta/dias/1817/01/30/pdfs/GMD-1817-13.pdf#page=4","Abrir facsímil")</f>
        <v>Abrir facsímil</v>
      </c>
      <c r="K3204" s="3" t="s">
        <v>23</v>
      </c>
    </row>
    <row r="3205" spans="1:11" ht="42" customHeight="1">
      <c r="A3205" s="2" t="s">
        <v>7667</v>
      </c>
      <c r="B3205" s="2" t="s">
        <v>7668</v>
      </c>
      <c r="C3205" s="2" t="s">
        <v>43</v>
      </c>
      <c r="D3205" s="2" t="s">
        <v>44</v>
      </c>
      <c r="E3205" s="5">
        <v>-30167</v>
      </c>
      <c r="F3205" s="3" t="s">
        <v>153</v>
      </c>
      <c r="G3205" s="3" t="s">
        <v>144</v>
      </c>
      <c r="H3205" s="2" t="s">
        <v>21</v>
      </c>
      <c r="I3205" s="2" t="s">
        <v>7669</v>
      </c>
      <c r="J3205" s="3" t="str">
        <f>HYPERLINK("https://www.boe.es/gazeta/dias/1817/05/27/pdfs/GMD-1817-63.pdf#page=4","Abrir facsímil")</f>
        <v>Abrir facsímil</v>
      </c>
      <c r="K3205" s="3" t="s">
        <v>23</v>
      </c>
    </row>
    <row r="3206" spans="1:11" ht="42" customHeight="1">
      <c r="A3206" s="2" t="s">
        <v>7670</v>
      </c>
      <c r="B3206" s="2" t="s">
        <v>7671</v>
      </c>
      <c r="C3206" s="2" t="s">
        <v>36</v>
      </c>
      <c r="D3206" s="2" t="s">
        <v>37</v>
      </c>
      <c r="E3206" s="5">
        <v>-30261</v>
      </c>
      <c r="F3206" s="3" t="s">
        <v>226</v>
      </c>
      <c r="G3206" s="3" t="s">
        <v>20</v>
      </c>
      <c r="H3206" s="2" t="s">
        <v>21</v>
      </c>
      <c r="I3206" s="2" t="s">
        <v>7672</v>
      </c>
      <c r="J3206" s="3" t="str">
        <f>HYPERLINK("https://www.boe.es/gazeta/dias/1817/02/22/pdfs/GMD-1817-23.pdf#page=7","Abrir facsímil")</f>
        <v>Abrir facsímil</v>
      </c>
      <c r="K3206" s="3" t="s">
        <v>23</v>
      </c>
    </row>
    <row r="3207" spans="1:11" ht="42" customHeight="1">
      <c r="A3207" s="2" t="s">
        <v>7673</v>
      </c>
      <c r="B3207" s="2" t="s">
        <v>7674</v>
      </c>
      <c r="C3207" s="2" t="s">
        <v>43</v>
      </c>
      <c r="D3207" s="2" t="s">
        <v>44</v>
      </c>
      <c r="E3207" s="5">
        <v>-30312</v>
      </c>
      <c r="F3207" s="3" t="s">
        <v>86</v>
      </c>
      <c r="G3207" s="3" t="s">
        <v>87</v>
      </c>
      <c r="H3207" s="2" t="s">
        <v>21</v>
      </c>
      <c r="I3207" s="2" t="s">
        <v>7675</v>
      </c>
      <c r="J3207" s="3" t="str">
        <f>HYPERLINK("https://www.boe.es/gazeta/dias/1817/01/02/pdfs/GMD-1817-1.pdf#page=4","Abrir facsímil")</f>
        <v>Abrir facsímil</v>
      </c>
      <c r="K3207" s="3" t="s">
        <v>23</v>
      </c>
    </row>
    <row r="3208" spans="1:11" ht="42" customHeight="1">
      <c r="A3208" s="2" t="s">
        <v>7676</v>
      </c>
      <c r="B3208" s="2" t="s">
        <v>7676</v>
      </c>
      <c r="C3208" s="2" t="s">
        <v>43</v>
      </c>
      <c r="D3208" s="2" t="s">
        <v>44</v>
      </c>
      <c r="E3208" s="5">
        <v>-30123</v>
      </c>
      <c r="F3208" s="3" t="s">
        <v>848</v>
      </c>
      <c r="G3208" s="3" t="s">
        <v>3877</v>
      </c>
      <c r="H3208" s="2" t="s">
        <v>21</v>
      </c>
      <c r="I3208" s="2" t="s">
        <v>7677</v>
      </c>
      <c r="J3208" s="3" t="str">
        <f>HYPERLINK("https://www.boe.es/gazeta/dias/1817/07/10/pdfs/GMD-1817-82.pdf#page=8","Abrir facsímil")</f>
        <v>Abrir facsímil</v>
      </c>
      <c r="K3208" s="3" t="s">
        <v>23</v>
      </c>
    </row>
    <row r="3209" spans="1:11" ht="42" customHeight="1">
      <c r="A3209" s="2" t="s">
        <v>7676</v>
      </c>
      <c r="B3209" s="2" t="s">
        <v>7676</v>
      </c>
      <c r="C3209" s="2" t="s">
        <v>55</v>
      </c>
      <c r="D3209" s="2" t="s">
        <v>44</v>
      </c>
      <c r="E3209" s="5">
        <v>-29976</v>
      </c>
      <c r="F3209" s="3" t="s">
        <v>81</v>
      </c>
      <c r="G3209" s="3" t="s">
        <v>82</v>
      </c>
      <c r="H3209" s="2" t="s">
        <v>21</v>
      </c>
      <c r="I3209" s="2" t="s">
        <v>7678</v>
      </c>
      <c r="J3209" s="3" t="str">
        <f>HYPERLINK("https://www.boe.es/gazeta/dias/1817/12/04/pdfs/GMD-1817-145.pdf#page=12","Abrir facsímil")</f>
        <v>Abrir facsímil</v>
      </c>
      <c r="K3209" s="3" t="s">
        <v>23</v>
      </c>
    </row>
    <row r="3210" spans="1:11" ht="42" customHeight="1">
      <c r="A3210" s="2" t="s">
        <v>7679</v>
      </c>
      <c r="B3210" s="2" t="s">
        <v>7680</v>
      </c>
      <c r="C3210" s="2" t="s">
        <v>43</v>
      </c>
      <c r="D3210" s="2" t="s">
        <v>44</v>
      </c>
      <c r="E3210" s="5">
        <v>-30130</v>
      </c>
      <c r="F3210" s="3" t="s">
        <v>768</v>
      </c>
      <c r="G3210" s="3" t="s">
        <v>144</v>
      </c>
      <c r="H3210" s="2" t="s">
        <v>27</v>
      </c>
      <c r="I3210" s="2" t="s">
        <v>7681</v>
      </c>
      <c r="J3210" s="3" t="str">
        <f>HYPERLINK("https://www.boe.es/gazeta/dias/1817/07/03/pdfs/GMD-1817-79.pdf#page=4","Abrir facsímil")</f>
        <v>Abrir facsímil</v>
      </c>
      <c r="K3210" s="3" t="s">
        <v>29</v>
      </c>
    </row>
    <row r="3211" spans="1:11" ht="42" customHeight="1">
      <c r="A3211" s="2" t="s">
        <v>7682</v>
      </c>
      <c r="B3211" s="2" t="s">
        <v>7683</v>
      </c>
      <c r="C3211" s="2" t="s">
        <v>97</v>
      </c>
      <c r="D3211" s="2" t="s">
        <v>44</v>
      </c>
      <c r="E3211" s="5">
        <v>-30123</v>
      </c>
      <c r="F3211" s="3" t="s">
        <v>848</v>
      </c>
      <c r="G3211" s="3" t="s">
        <v>3877</v>
      </c>
      <c r="H3211" s="2" t="s">
        <v>21</v>
      </c>
      <c r="I3211" s="2" t="s">
        <v>7684</v>
      </c>
      <c r="J3211" s="3" t="str">
        <f>HYPERLINK("https://www.boe.es/gazeta/dias/1817/07/10/pdfs/GMD-1817-82.pdf#page=8","Abrir facsímil")</f>
        <v>Abrir facsímil</v>
      </c>
      <c r="K3211" s="3" t="s">
        <v>23</v>
      </c>
    </row>
    <row r="3212" spans="1:11" ht="42" customHeight="1">
      <c r="A3212" s="2" t="s">
        <v>7685</v>
      </c>
      <c r="B3212" s="2" t="s">
        <v>7686</v>
      </c>
      <c r="C3212" s="2" t="s">
        <v>55</v>
      </c>
      <c r="D3212" s="2" t="s">
        <v>44</v>
      </c>
      <c r="E3212" s="5">
        <v>-30305</v>
      </c>
      <c r="F3212" s="3" t="s">
        <v>405</v>
      </c>
      <c r="G3212" s="3" t="s">
        <v>7687</v>
      </c>
      <c r="H3212" s="2" t="s">
        <v>21</v>
      </c>
      <c r="I3212" s="2" t="s">
        <v>7688</v>
      </c>
      <c r="J3212" s="3" t="str">
        <f>HYPERLINK("https://www.boe.es/gazeta/dias/1817/01/09/pdfs/GMD-1817-4.pdf#page=5","Abrir facsímil")</f>
        <v>Abrir facsímil</v>
      </c>
      <c r="K3212" s="3" t="s">
        <v>23</v>
      </c>
    </row>
    <row r="3213" spans="1:11" ht="42" customHeight="1">
      <c r="A3213" s="2" t="s">
        <v>7689</v>
      </c>
      <c r="B3213" s="2" t="s">
        <v>7690</v>
      </c>
      <c r="C3213" s="2" t="s">
        <v>138</v>
      </c>
      <c r="D3213" s="2" t="s">
        <v>44</v>
      </c>
      <c r="E3213" s="5">
        <v>-30179</v>
      </c>
      <c r="F3213" s="3" t="s">
        <v>391</v>
      </c>
      <c r="G3213" s="3" t="s">
        <v>77</v>
      </c>
      <c r="H3213" s="2" t="s">
        <v>21</v>
      </c>
      <c r="I3213" s="2" t="s">
        <v>7691</v>
      </c>
      <c r="J3213" s="3" t="str">
        <f>HYPERLINK("https://www.boe.es/gazeta/dias/1817/05/15/pdfs/GMD-1817-58.pdf#page=8","Abrir facsímil")</f>
        <v>Abrir facsímil</v>
      </c>
      <c r="K3213" s="3" t="s">
        <v>23</v>
      </c>
    </row>
    <row r="3214" spans="1:11" ht="42" customHeight="1">
      <c r="A3214" s="2" t="s">
        <v>7692</v>
      </c>
      <c r="B3214" s="2" t="s">
        <v>7693</v>
      </c>
      <c r="C3214" s="2" t="s">
        <v>36</v>
      </c>
      <c r="D3214" s="2" t="s">
        <v>37</v>
      </c>
      <c r="E3214" s="5">
        <v>-30109</v>
      </c>
      <c r="F3214" s="3" t="s">
        <v>205</v>
      </c>
      <c r="G3214" s="3" t="s">
        <v>112</v>
      </c>
      <c r="H3214" s="2" t="s">
        <v>21</v>
      </c>
      <c r="I3214" s="2" t="s">
        <v>7694</v>
      </c>
      <c r="J3214" s="3" t="str">
        <f>HYPERLINK("https://www.boe.es/gazeta/dias/1817/07/24/pdfs/GMD-1817-88.pdf#page=11","Abrir facsímil")</f>
        <v>Abrir facsímil</v>
      </c>
      <c r="K3214" s="3" t="s">
        <v>23</v>
      </c>
    </row>
    <row r="3215" spans="1:11" ht="42" customHeight="1">
      <c r="A3215" s="2" t="s">
        <v>7695</v>
      </c>
      <c r="B3215" s="2" t="s">
        <v>7695</v>
      </c>
      <c r="C3215" s="2" t="s">
        <v>55</v>
      </c>
      <c r="D3215" s="2" t="s">
        <v>44</v>
      </c>
      <c r="E3215" s="5">
        <v>-30181</v>
      </c>
      <c r="F3215" s="3" t="s">
        <v>3337</v>
      </c>
      <c r="G3215" s="3" t="s">
        <v>144</v>
      </c>
      <c r="H3215" s="2" t="s">
        <v>21</v>
      </c>
      <c r="I3215" s="2" t="s">
        <v>7696</v>
      </c>
      <c r="J3215" s="3" t="str">
        <f>HYPERLINK("https://www.boe.es/gazeta/dias/1817/05/13/pdfs/GMD-1817-57.pdf#page=4","Abrir facsímil")</f>
        <v>Abrir facsímil</v>
      </c>
      <c r="K3215" s="3" t="s">
        <v>23</v>
      </c>
    </row>
    <row r="3216" spans="1:11" ht="42" customHeight="1">
      <c r="A3216" s="2" t="s">
        <v>7697</v>
      </c>
      <c r="B3216" s="2" t="s">
        <v>7697</v>
      </c>
      <c r="C3216" s="2" t="s">
        <v>17</v>
      </c>
      <c r="D3216" s="2" t="s">
        <v>18</v>
      </c>
      <c r="E3216" s="5">
        <v>-30174</v>
      </c>
      <c r="F3216" s="3" t="s">
        <v>19</v>
      </c>
      <c r="G3216" s="3" t="s">
        <v>72</v>
      </c>
      <c r="H3216" s="2" t="s">
        <v>21</v>
      </c>
      <c r="I3216" s="2" t="s">
        <v>7698</v>
      </c>
      <c r="J3216" s="3" t="str">
        <f>HYPERLINK("https://www.boe.es/gazeta/dias/1817/05/20/pdfs/GMD-1817-60.pdf#page=1","Abrir facsímil")</f>
        <v>Abrir facsímil</v>
      </c>
      <c r="K3216" s="3" t="s">
        <v>23</v>
      </c>
    </row>
    <row r="3217" spans="1:11" ht="42" customHeight="1">
      <c r="A3217" s="2" t="s">
        <v>7699</v>
      </c>
      <c r="B3217" s="2" t="s">
        <v>7700</v>
      </c>
      <c r="C3217" s="2" t="s">
        <v>36</v>
      </c>
      <c r="D3217" s="2" t="s">
        <v>37</v>
      </c>
      <c r="E3217" s="5">
        <v>-30205</v>
      </c>
      <c r="F3217" s="3" t="s">
        <v>139</v>
      </c>
      <c r="G3217" s="3" t="s">
        <v>20</v>
      </c>
      <c r="H3217" s="2" t="s">
        <v>21</v>
      </c>
      <c r="I3217" s="2" t="s">
        <v>7701</v>
      </c>
      <c r="J3217" s="3" t="str">
        <f>HYPERLINK("https://www.boe.es/gazeta/dias/1817/04/19/pdfs/GMD-1817-47.pdf#page=7","Abrir facsímil")</f>
        <v>Abrir facsímil</v>
      </c>
      <c r="K3217" s="3" t="s">
        <v>23</v>
      </c>
    </row>
    <row r="3218" spans="1:11" ht="42" customHeight="1">
      <c r="A3218" s="2" t="s">
        <v>7702</v>
      </c>
      <c r="B3218" s="2" t="s">
        <v>7703</v>
      </c>
      <c r="C3218" s="2" t="s">
        <v>17</v>
      </c>
      <c r="D3218" s="2" t="s">
        <v>18</v>
      </c>
      <c r="E3218" s="5">
        <v>-30212</v>
      </c>
      <c r="F3218" s="3" t="s">
        <v>745</v>
      </c>
      <c r="G3218" s="3" t="s">
        <v>77</v>
      </c>
      <c r="H3218" s="2" t="s">
        <v>21</v>
      </c>
      <c r="I3218" s="2" t="s">
        <v>7704</v>
      </c>
      <c r="J3218" s="3" t="str">
        <f>HYPERLINK("https://www.boe.es/gazeta/dias/1817/04/12/pdfs/GMD-1817-44.pdf#page=8","Abrir facsímil")</f>
        <v>Abrir facsímil</v>
      </c>
      <c r="K3218" s="3" t="s">
        <v>23</v>
      </c>
    </row>
    <row r="3219" spans="1:11" ht="42" customHeight="1">
      <c r="A3219" s="2" t="s">
        <v>7705</v>
      </c>
      <c r="B3219" s="2" t="s">
        <v>7706</v>
      </c>
      <c r="C3219" s="2" t="s">
        <v>17</v>
      </c>
      <c r="D3219" s="2" t="s">
        <v>18</v>
      </c>
      <c r="E3219" s="5">
        <v>-30286</v>
      </c>
      <c r="F3219" s="3" t="s">
        <v>354</v>
      </c>
      <c r="G3219" s="3" t="s">
        <v>77</v>
      </c>
      <c r="H3219" s="2" t="s">
        <v>21</v>
      </c>
      <c r="I3219" s="2" t="s">
        <v>7707</v>
      </c>
      <c r="J3219" s="3" t="str">
        <f>HYPERLINK("https://www.boe.es/gazeta/dias/1817/01/28/pdfs/GMD-1817-12.pdf#page=8","Abrir facsímil")</f>
        <v>Abrir facsímil</v>
      </c>
      <c r="K3219" s="3" t="s">
        <v>23</v>
      </c>
    </row>
    <row r="3220" spans="1:11" ht="42" customHeight="1">
      <c r="A3220" s="2" t="s">
        <v>7705</v>
      </c>
      <c r="B3220" s="2" t="s">
        <v>7706</v>
      </c>
      <c r="C3220" s="2" t="s">
        <v>17</v>
      </c>
      <c r="D3220" s="2" t="s">
        <v>18</v>
      </c>
      <c r="E3220" s="5">
        <v>-30277</v>
      </c>
      <c r="F3220" s="3" t="s">
        <v>3822</v>
      </c>
      <c r="G3220" s="3" t="s">
        <v>77</v>
      </c>
      <c r="H3220" s="2" t="s">
        <v>21</v>
      </c>
      <c r="I3220" s="2" t="s">
        <v>7708</v>
      </c>
      <c r="J3220" s="3" t="str">
        <f>HYPERLINK("https://www.boe.es/gazeta/dias/1817/02/06/pdfs/GMD-1817-16.pdf#page=8","Abrir facsímil")</f>
        <v>Abrir facsímil</v>
      </c>
      <c r="K3220" s="3" t="s">
        <v>23</v>
      </c>
    </row>
    <row r="3221" spans="1:11" ht="42" customHeight="1">
      <c r="A3221" s="2" t="s">
        <v>7705</v>
      </c>
      <c r="B3221" s="2" t="s">
        <v>7706</v>
      </c>
      <c r="C3221" s="2" t="s">
        <v>17</v>
      </c>
      <c r="D3221" s="2" t="s">
        <v>18</v>
      </c>
      <c r="E3221" s="5">
        <v>-30237</v>
      </c>
      <c r="F3221" s="3" t="s">
        <v>56</v>
      </c>
      <c r="G3221" s="3" t="s">
        <v>77</v>
      </c>
      <c r="H3221" s="2" t="s">
        <v>21</v>
      </c>
      <c r="I3221" s="2" t="s">
        <v>7709</v>
      </c>
      <c r="J3221" s="3" t="str">
        <f>HYPERLINK("https://www.boe.es/gazeta/dias/1817/03/18/pdfs/GMD-1817-33.pdf#page=8","Abrir facsímil")</f>
        <v>Abrir facsímil</v>
      </c>
      <c r="K3221" s="3" t="s">
        <v>23</v>
      </c>
    </row>
    <row r="3222" spans="1:11" ht="42" customHeight="1">
      <c r="A3222" s="2" t="s">
        <v>7705</v>
      </c>
      <c r="B3222" s="2" t="s">
        <v>7706</v>
      </c>
      <c r="C3222" s="2" t="s">
        <v>17</v>
      </c>
      <c r="D3222" s="2" t="s">
        <v>18</v>
      </c>
      <c r="E3222" s="5">
        <v>-30228</v>
      </c>
      <c r="F3222" s="3" t="s">
        <v>383</v>
      </c>
      <c r="G3222" s="3" t="s">
        <v>77</v>
      </c>
      <c r="H3222" s="2" t="s">
        <v>21</v>
      </c>
      <c r="I3222" s="2" t="s">
        <v>7710</v>
      </c>
      <c r="J3222" s="3" t="str">
        <f>HYPERLINK("https://www.boe.es/gazeta/dias/1817/03/27/pdfs/GMD-1817-37.pdf#page=8","Abrir facsímil")</f>
        <v>Abrir facsímil</v>
      </c>
      <c r="K3222" s="3" t="s">
        <v>23</v>
      </c>
    </row>
    <row r="3223" spans="1:11" ht="42" customHeight="1">
      <c r="A3223" s="2" t="s">
        <v>7705</v>
      </c>
      <c r="B3223" s="2" t="s">
        <v>7706</v>
      </c>
      <c r="C3223" s="2" t="s">
        <v>17</v>
      </c>
      <c r="D3223" s="2" t="s">
        <v>18</v>
      </c>
      <c r="E3223" s="5">
        <v>-30209</v>
      </c>
      <c r="F3223" s="3" t="s">
        <v>1478</v>
      </c>
      <c r="G3223" s="3" t="s">
        <v>77</v>
      </c>
      <c r="H3223" s="2" t="s">
        <v>21</v>
      </c>
      <c r="I3223" s="2" t="s">
        <v>7711</v>
      </c>
      <c r="J3223" s="3" t="str">
        <f>HYPERLINK("https://www.boe.es/gazeta/dias/1817/04/15/pdfs/GMD-1817-45.pdf#page=8","Abrir facsímil")</f>
        <v>Abrir facsímil</v>
      </c>
      <c r="K3223" s="3" t="s">
        <v>23</v>
      </c>
    </row>
    <row r="3224" spans="1:11" ht="42" customHeight="1">
      <c r="A3224" s="2" t="s">
        <v>7705</v>
      </c>
      <c r="B3224" s="2" t="s">
        <v>7706</v>
      </c>
      <c r="C3224" s="2" t="s">
        <v>17</v>
      </c>
      <c r="D3224" s="2" t="s">
        <v>18</v>
      </c>
      <c r="E3224" s="5">
        <v>-30202</v>
      </c>
      <c r="F3224" s="3" t="s">
        <v>418</v>
      </c>
      <c r="G3224" s="3" t="s">
        <v>77</v>
      </c>
      <c r="H3224" s="2" t="s">
        <v>21</v>
      </c>
      <c r="I3224" s="2" t="s">
        <v>7712</v>
      </c>
      <c r="J3224" s="3" t="str">
        <f>HYPERLINK("https://www.boe.es/gazeta/dias/1817/04/22/pdfs/GMD-1817-48.pdf#page=8","Abrir facsímil")</f>
        <v>Abrir facsímil</v>
      </c>
      <c r="K3224" s="3" t="s">
        <v>23</v>
      </c>
    </row>
    <row r="3225" spans="1:11" ht="42" customHeight="1">
      <c r="A3225" s="2" t="s">
        <v>7705</v>
      </c>
      <c r="B3225" s="2" t="s">
        <v>7706</v>
      </c>
      <c r="C3225" s="2" t="s">
        <v>17</v>
      </c>
      <c r="D3225" s="2" t="s">
        <v>18</v>
      </c>
      <c r="E3225" s="5">
        <v>-30198</v>
      </c>
      <c r="F3225" s="3" t="s">
        <v>2185</v>
      </c>
      <c r="G3225" s="3" t="s">
        <v>2186</v>
      </c>
      <c r="H3225" s="2" t="s">
        <v>21</v>
      </c>
      <c r="I3225" s="2" t="s">
        <v>7713</v>
      </c>
      <c r="J3225" s="3" t="str">
        <f>HYPERLINK("https://www.boe.es/gazeta/dias/1817/04/26/pdfs/GMD-1817-50.pdf#page=8","Abrir facsímil")</f>
        <v>Abrir facsímil</v>
      </c>
      <c r="K3225" s="3" t="s">
        <v>23</v>
      </c>
    </row>
    <row r="3226" spans="1:11" ht="42" customHeight="1">
      <c r="A3226" s="2" t="s">
        <v>7705</v>
      </c>
      <c r="B3226" s="2" t="s">
        <v>7706</v>
      </c>
      <c r="C3226" s="2" t="s">
        <v>17</v>
      </c>
      <c r="D3226" s="2" t="s">
        <v>18</v>
      </c>
      <c r="E3226" s="5">
        <v>-30086</v>
      </c>
      <c r="F3226" s="3" t="s">
        <v>221</v>
      </c>
      <c r="G3226" s="3" t="s">
        <v>222</v>
      </c>
      <c r="H3226" s="2" t="s">
        <v>21</v>
      </c>
      <c r="I3226" s="2" t="s">
        <v>7714</v>
      </c>
      <c r="J3226" s="3" t="str">
        <f>HYPERLINK("https://www.boe.es/gazeta/dias/1817/08/16/pdfs/GMD-1817-98.pdf#page=8","Abrir facsímil")</f>
        <v>Abrir facsímil</v>
      </c>
      <c r="K3226" s="3" t="s">
        <v>23</v>
      </c>
    </row>
    <row r="3227" spans="1:11" ht="42" customHeight="1">
      <c r="A3227" s="2" t="s">
        <v>7705</v>
      </c>
      <c r="B3227" s="2" t="s">
        <v>7706</v>
      </c>
      <c r="C3227" s="2" t="s">
        <v>17</v>
      </c>
      <c r="D3227" s="2" t="s">
        <v>18</v>
      </c>
      <c r="E3227" s="5">
        <v>-30079</v>
      </c>
      <c r="F3227" s="3" t="s">
        <v>45</v>
      </c>
      <c r="G3227" s="3" t="s">
        <v>77</v>
      </c>
      <c r="H3227" s="2" t="s">
        <v>21</v>
      </c>
      <c r="I3227" s="2" t="s">
        <v>7715</v>
      </c>
      <c r="J3227" s="3" t="str">
        <f>HYPERLINK("https://www.boe.es/gazeta/dias/1817/08/23/pdfs/GMD-1817-101.pdf#page=8","Abrir facsímil")</f>
        <v>Abrir facsímil</v>
      </c>
      <c r="K3227" s="3" t="s">
        <v>23</v>
      </c>
    </row>
    <row r="3228" spans="1:11" ht="42" customHeight="1">
      <c r="A3228" s="2" t="s">
        <v>7705</v>
      </c>
      <c r="B3228" s="2" t="s">
        <v>7706</v>
      </c>
      <c r="C3228" s="2" t="s">
        <v>17</v>
      </c>
      <c r="D3228" s="2" t="s">
        <v>18</v>
      </c>
      <c r="E3228" s="5">
        <v>-30076</v>
      </c>
      <c r="F3228" s="3" t="s">
        <v>439</v>
      </c>
      <c r="G3228" s="3" t="s">
        <v>77</v>
      </c>
      <c r="H3228" s="2" t="s">
        <v>21</v>
      </c>
      <c r="I3228" s="2" t="s">
        <v>7716</v>
      </c>
      <c r="J3228" s="3" t="str">
        <f>HYPERLINK("https://www.boe.es/gazeta/dias/1817/08/26/pdfs/GMD-1817-102.pdf#page=8","Abrir facsímil")</f>
        <v>Abrir facsímil</v>
      </c>
      <c r="K3228" s="3" t="s">
        <v>23</v>
      </c>
    </row>
    <row r="3229" spans="1:11" ht="42" customHeight="1">
      <c r="A3229" s="2" t="s">
        <v>7705</v>
      </c>
      <c r="B3229" s="2" t="s">
        <v>7706</v>
      </c>
      <c r="C3229" s="2" t="s">
        <v>17</v>
      </c>
      <c r="D3229" s="2" t="s">
        <v>18</v>
      </c>
      <c r="E3229" s="5">
        <v>-30060</v>
      </c>
      <c r="F3229" s="3" t="s">
        <v>446</v>
      </c>
      <c r="G3229" s="3" t="s">
        <v>77</v>
      </c>
      <c r="H3229" s="2" t="s">
        <v>21</v>
      </c>
      <c r="I3229" s="2" t="s">
        <v>7717</v>
      </c>
      <c r="J3229" s="3" t="str">
        <f>HYPERLINK("https://www.boe.es/gazeta/dias/1817/09/11/pdfs/GMD-1817-109.pdf#page=8","Abrir facsímil")</f>
        <v>Abrir facsímil</v>
      </c>
      <c r="K3229" s="3" t="s">
        <v>23</v>
      </c>
    </row>
    <row r="3230" spans="1:11" ht="42" customHeight="1">
      <c r="A3230" s="2" t="s">
        <v>7705</v>
      </c>
      <c r="B3230" s="2" t="s">
        <v>7706</v>
      </c>
      <c r="C3230" s="2" t="s">
        <v>17</v>
      </c>
      <c r="D3230" s="2" t="s">
        <v>18</v>
      </c>
      <c r="E3230" s="5">
        <v>-30039</v>
      </c>
      <c r="F3230" s="3" t="s">
        <v>558</v>
      </c>
      <c r="G3230" s="3" t="s">
        <v>77</v>
      </c>
      <c r="H3230" s="2" t="s">
        <v>21</v>
      </c>
      <c r="I3230" s="2" t="s">
        <v>7718</v>
      </c>
      <c r="J3230" s="3" t="str">
        <f>HYPERLINK("https://www.boe.es/gazeta/dias/1817/10/02/pdfs/GMD-1817-118.pdf#page=8","Abrir facsímil")</f>
        <v>Abrir facsímil</v>
      </c>
      <c r="K3230" s="3" t="s">
        <v>23</v>
      </c>
    </row>
    <row r="3231" spans="1:11" ht="42" customHeight="1">
      <c r="A3231" s="2" t="s">
        <v>7705</v>
      </c>
      <c r="B3231" s="2" t="s">
        <v>7706</v>
      </c>
      <c r="C3231" s="2" t="s">
        <v>17</v>
      </c>
      <c r="D3231" s="2" t="s">
        <v>18</v>
      </c>
      <c r="E3231" s="5">
        <v>-30006</v>
      </c>
      <c r="F3231" s="3" t="s">
        <v>210</v>
      </c>
      <c r="G3231" s="3" t="s">
        <v>77</v>
      </c>
      <c r="H3231" s="2" t="s">
        <v>21</v>
      </c>
      <c r="I3231" s="2" t="s">
        <v>7719</v>
      </c>
      <c r="J3231" s="3" t="str">
        <f>HYPERLINK("https://www.boe.es/gazeta/dias/1817/11/04/pdfs/GMD-1817-132.pdf#page=8","Abrir facsímil")</f>
        <v>Abrir facsímil</v>
      </c>
      <c r="K3231" s="3" t="s">
        <v>23</v>
      </c>
    </row>
    <row r="3232" spans="1:11" ht="42" customHeight="1">
      <c r="A3232" s="2" t="s">
        <v>7720</v>
      </c>
      <c r="B3232" s="2" t="s">
        <v>7721</v>
      </c>
      <c r="C3232" s="2" t="s">
        <v>43</v>
      </c>
      <c r="D3232" s="2" t="s">
        <v>44</v>
      </c>
      <c r="E3232" s="5">
        <v>-29978</v>
      </c>
      <c r="F3232" s="3" t="s">
        <v>478</v>
      </c>
      <c r="G3232" s="3" t="s">
        <v>832</v>
      </c>
      <c r="H3232" s="2" t="s">
        <v>21</v>
      </c>
      <c r="I3232" s="2" t="s">
        <v>7722</v>
      </c>
      <c r="J3232" s="3" t="str">
        <f>HYPERLINK("https://www.boe.es/gazeta/dias/1817/12/02/pdfs/GMD-1817-144.pdf#page=6","Abrir facsímil")</f>
        <v>Abrir facsímil</v>
      </c>
      <c r="K3232" s="3" t="s">
        <v>23</v>
      </c>
    </row>
    <row r="3233" spans="1:11" ht="42" customHeight="1">
      <c r="A3233" s="2" t="s">
        <v>7723</v>
      </c>
      <c r="B3233" s="2" t="s">
        <v>7724</v>
      </c>
      <c r="C3233" s="2" t="s">
        <v>17</v>
      </c>
      <c r="D3233" s="2" t="s">
        <v>18</v>
      </c>
      <c r="E3233" s="5">
        <v>-30163</v>
      </c>
      <c r="F3233" s="3" t="s">
        <v>166</v>
      </c>
      <c r="G3233" s="3" t="s">
        <v>57</v>
      </c>
      <c r="H3233" s="2" t="s">
        <v>21</v>
      </c>
      <c r="I3233" s="2" t="s">
        <v>7725</v>
      </c>
      <c r="J3233" s="3" t="str">
        <f>HYPERLINK("https://www.boe.es/gazeta/dias/1817/05/31/pdfs/GMD-1817-65.pdf#page=6","Abrir facsímil")</f>
        <v>Abrir facsímil</v>
      </c>
      <c r="K3233" s="3" t="s">
        <v>23</v>
      </c>
    </row>
    <row r="3234" spans="1:11" ht="42" customHeight="1">
      <c r="A3234" s="2" t="s">
        <v>7726</v>
      </c>
      <c r="B3234" s="2" t="s">
        <v>7727</v>
      </c>
      <c r="C3234" s="2" t="s">
        <v>36</v>
      </c>
      <c r="D3234" s="2" t="s">
        <v>37</v>
      </c>
      <c r="E3234" s="5">
        <v>-30158</v>
      </c>
      <c r="F3234" s="3" t="s">
        <v>305</v>
      </c>
      <c r="G3234" s="3" t="s">
        <v>144</v>
      </c>
      <c r="H3234" s="2" t="s">
        <v>21</v>
      </c>
      <c r="I3234" s="2" t="s">
        <v>7728</v>
      </c>
      <c r="J3234" s="3" t="str">
        <f>HYPERLINK("https://www.boe.es/gazeta/dias/1817/06/05/pdfs/GMD-1817-67.pdf#page=4","Abrir facsímil")</f>
        <v>Abrir facsímil</v>
      </c>
      <c r="K3234" s="3" t="s">
        <v>23</v>
      </c>
    </row>
    <row r="3235" spans="1:11" ht="42" customHeight="1">
      <c r="A3235" s="2" t="s">
        <v>7726</v>
      </c>
      <c r="B3235" s="2" t="s">
        <v>7727</v>
      </c>
      <c r="C3235" s="2" t="s">
        <v>17</v>
      </c>
      <c r="D3235" s="2" t="s">
        <v>18</v>
      </c>
      <c r="E3235" s="5">
        <v>-30158</v>
      </c>
      <c r="F3235" s="3" t="s">
        <v>305</v>
      </c>
      <c r="G3235" s="3" t="s">
        <v>39</v>
      </c>
      <c r="H3235" s="2" t="s">
        <v>21</v>
      </c>
      <c r="I3235" s="2" t="s">
        <v>7729</v>
      </c>
      <c r="J3235" s="3" t="str">
        <f>HYPERLINK("https://www.boe.es/gazeta/dias/1817/06/05/pdfs/GMD-1817-67.pdf#page=5","Abrir facsímil")</f>
        <v>Abrir facsímil</v>
      </c>
      <c r="K3235" s="3" t="s">
        <v>23</v>
      </c>
    </row>
    <row r="3236" spans="1:11" ht="42" customHeight="1">
      <c r="A3236" s="2" t="s">
        <v>7726</v>
      </c>
      <c r="B3236" s="2" t="s">
        <v>7727</v>
      </c>
      <c r="C3236" s="2" t="s">
        <v>97</v>
      </c>
      <c r="D3236" s="2" t="s">
        <v>44</v>
      </c>
      <c r="E3236" s="5">
        <v>-29978</v>
      </c>
      <c r="F3236" s="3" t="s">
        <v>478</v>
      </c>
      <c r="G3236" s="3" t="s">
        <v>39</v>
      </c>
      <c r="H3236" s="2" t="s">
        <v>21</v>
      </c>
      <c r="I3236" s="2" t="s">
        <v>7730</v>
      </c>
      <c r="J3236" s="3" t="str">
        <f>HYPERLINK("https://www.boe.es/gazeta/dias/1817/12/02/pdfs/GMD-1817-144.pdf#page=5","Abrir facsímil")</f>
        <v>Abrir facsímil</v>
      </c>
      <c r="K3236" s="3" t="s">
        <v>23</v>
      </c>
    </row>
    <row r="3237" spans="1:11" ht="42" customHeight="1">
      <c r="A3237" s="2" t="s">
        <v>7726</v>
      </c>
      <c r="B3237" s="2" t="s">
        <v>7727</v>
      </c>
      <c r="C3237" s="2" t="s">
        <v>36</v>
      </c>
      <c r="D3237" s="2" t="s">
        <v>37</v>
      </c>
      <c r="E3237" s="5">
        <v>-29978</v>
      </c>
      <c r="F3237" s="3" t="s">
        <v>478</v>
      </c>
      <c r="G3237" s="3" t="s">
        <v>20</v>
      </c>
      <c r="H3237" s="2" t="s">
        <v>21</v>
      </c>
      <c r="I3237" s="2" t="s">
        <v>7731</v>
      </c>
      <c r="J3237" s="3" t="str">
        <f>HYPERLINK("https://www.boe.es/gazeta/dias/1817/12/02/pdfs/GMD-1817-144.pdf#page=7","Abrir facsímil")</f>
        <v>Abrir facsímil</v>
      </c>
      <c r="K3237" s="3" t="s">
        <v>23</v>
      </c>
    </row>
    <row r="3238" spans="1:11" ht="42" customHeight="1">
      <c r="A3238" s="2" t="s">
        <v>7726</v>
      </c>
      <c r="B3238" s="2" t="s">
        <v>7727</v>
      </c>
      <c r="C3238" s="2" t="s">
        <v>36</v>
      </c>
      <c r="D3238" s="2" t="s">
        <v>37</v>
      </c>
      <c r="E3238" s="5">
        <v>-29978</v>
      </c>
      <c r="F3238" s="3" t="s">
        <v>478</v>
      </c>
      <c r="G3238" s="3" t="s">
        <v>77</v>
      </c>
      <c r="H3238" s="2" t="s">
        <v>21</v>
      </c>
      <c r="I3238" s="2" t="s">
        <v>7732</v>
      </c>
      <c r="J3238" s="3" t="str">
        <f>HYPERLINK("https://www.boe.es/gazeta/dias/1817/12/02/pdfs/GMD-1817-144.pdf#page=8","Abrir facsímil")</f>
        <v>Abrir facsímil</v>
      </c>
      <c r="K3238" s="3" t="s">
        <v>23</v>
      </c>
    </row>
    <row r="3239" spans="1:11" ht="42" customHeight="1">
      <c r="A3239" s="2" t="s">
        <v>7733</v>
      </c>
      <c r="B3239" s="2" t="s">
        <v>7734</v>
      </c>
      <c r="C3239" s="2" t="s">
        <v>17</v>
      </c>
      <c r="D3239" s="2" t="s">
        <v>18</v>
      </c>
      <c r="E3239" s="5">
        <v>-29981</v>
      </c>
      <c r="F3239" s="3" t="s">
        <v>111</v>
      </c>
      <c r="G3239" s="3" t="s">
        <v>112</v>
      </c>
      <c r="H3239" s="2" t="s">
        <v>21</v>
      </c>
      <c r="I3239" s="2" t="s">
        <v>7735</v>
      </c>
      <c r="J3239" s="3" t="str">
        <f>HYPERLINK("https://www.boe.es/gazeta/dias/1817/11/29/pdfs/GMD-1817-143.pdf#page=11","Abrir facsímil")</f>
        <v>Abrir facsímil</v>
      </c>
      <c r="K3239" s="3" t="s">
        <v>23</v>
      </c>
    </row>
    <row r="3240" spans="1:11" ht="42" customHeight="1">
      <c r="A3240" s="2" t="s">
        <v>7736</v>
      </c>
      <c r="B3240" s="2" t="s">
        <v>7737</v>
      </c>
      <c r="C3240" s="2" t="s">
        <v>17</v>
      </c>
      <c r="D3240" s="2" t="s">
        <v>18</v>
      </c>
      <c r="E3240" s="5">
        <v>-30023</v>
      </c>
      <c r="F3240" s="3" t="s">
        <v>460</v>
      </c>
      <c r="G3240" s="3" t="s">
        <v>461</v>
      </c>
      <c r="H3240" s="2" t="s">
        <v>21</v>
      </c>
      <c r="I3240" s="2" t="s">
        <v>7738</v>
      </c>
      <c r="J3240" s="3" t="str">
        <f>HYPERLINK("https://www.boe.es/gazeta/dias/1817/10/18/pdfs/GMD-1817-125.pdf#page=8","Abrir facsímil")</f>
        <v>Abrir facsímil</v>
      </c>
      <c r="K3240" s="3" t="s">
        <v>23</v>
      </c>
    </row>
    <row r="3241" spans="1:11" ht="42" customHeight="1">
      <c r="A3241" s="2" t="s">
        <v>7739</v>
      </c>
      <c r="B3241" s="2" t="s">
        <v>7740</v>
      </c>
      <c r="C3241" s="2" t="s">
        <v>43</v>
      </c>
      <c r="D3241" s="2" t="s">
        <v>44</v>
      </c>
      <c r="E3241" s="5">
        <v>-30013</v>
      </c>
      <c r="F3241" s="3" t="s">
        <v>464</v>
      </c>
      <c r="G3241" s="3" t="s">
        <v>39</v>
      </c>
      <c r="H3241" s="2" t="s">
        <v>21</v>
      </c>
      <c r="I3241" s="2" t="s">
        <v>7741</v>
      </c>
      <c r="J3241" s="3" t="str">
        <f>HYPERLINK("https://www.boe.es/gazeta/dias/1817/10/28/pdfs/GMD-1817-129.pdf#page=5","Abrir facsímil")</f>
        <v>Abrir facsímil</v>
      </c>
      <c r="K3241" s="3" t="s">
        <v>23</v>
      </c>
    </row>
    <row r="3242" spans="1:11" ht="42" customHeight="1">
      <c r="A3242" s="2" t="s">
        <v>7742</v>
      </c>
      <c r="B3242" s="2" t="s">
        <v>7743</v>
      </c>
      <c r="C3242" s="2" t="s">
        <v>36</v>
      </c>
      <c r="D3242" s="2" t="s">
        <v>37</v>
      </c>
      <c r="E3242" s="5">
        <v>-29988</v>
      </c>
      <c r="F3242" s="3" t="s">
        <v>569</v>
      </c>
      <c r="G3242" s="3" t="s">
        <v>112</v>
      </c>
      <c r="H3242" s="2" t="s">
        <v>21</v>
      </c>
      <c r="I3242" s="2" t="s">
        <v>7744</v>
      </c>
      <c r="J3242" s="3" t="str">
        <f>HYPERLINK("https://www.boe.es/gazeta/dias/1817/11/22/pdfs/GMD-1817-140.pdf#page=11","Abrir facsímil")</f>
        <v>Abrir facsímil</v>
      </c>
      <c r="K3242" s="3" t="s">
        <v>23</v>
      </c>
    </row>
    <row r="3243" spans="1:11" ht="42" customHeight="1">
      <c r="A3243" s="2" t="s">
        <v>7745</v>
      </c>
      <c r="B3243" s="2" t="s">
        <v>7746</v>
      </c>
      <c r="C3243" s="2" t="s">
        <v>43</v>
      </c>
      <c r="D3243" s="2" t="s">
        <v>44</v>
      </c>
      <c r="E3243" s="5">
        <v>-30307</v>
      </c>
      <c r="F3243" s="3" t="s">
        <v>67</v>
      </c>
      <c r="G3243" s="3" t="s">
        <v>739</v>
      </c>
      <c r="H3243" s="2" t="s">
        <v>21</v>
      </c>
      <c r="I3243" s="2" t="s">
        <v>7747</v>
      </c>
      <c r="J3243" s="3" t="str">
        <f>HYPERLINK("https://www.boe.es/gazeta/dias/1817/01/07/pdfs/GMD-1817-3.pdf#page=6","Abrir facsímil")</f>
        <v>Abrir facsímil</v>
      </c>
      <c r="K3243" s="3" t="s">
        <v>23</v>
      </c>
    </row>
    <row r="3244" spans="1:11" ht="42" customHeight="1">
      <c r="A3244" s="2" t="s">
        <v>7748</v>
      </c>
      <c r="B3244" s="2" t="s">
        <v>7748</v>
      </c>
      <c r="C3244" s="2" t="s">
        <v>36</v>
      </c>
      <c r="D3244" s="2" t="s">
        <v>37</v>
      </c>
      <c r="E3244" s="5">
        <v>-30132</v>
      </c>
      <c r="F3244" s="3" t="s">
        <v>718</v>
      </c>
      <c r="G3244" s="3" t="s">
        <v>629</v>
      </c>
      <c r="H3244" s="2" t="s">
        <v>21</v>
      </c>
      <c r="I3244" s="2" t="s">
        <v>7749</v>
      </c>
      <c r="J3244" s="3" t="str">
        <f>HYPERLINK("https://www.boe.es/gazeta/dias/1817/07/01/pdfs/GMD-1817-78.pdf#page=2","Abrir facsímil")</f>
        <v>Abrir facsímil</v>
      </c>
      <c r="K3244" s="3" t="s">
        <v>23</v>
      </c>
    </row>
    <row r="3245" spans="1:11" ht="42" customHeight="1">
      <c r="A3245" s="2" t="s">
        <v>7750</v>
      </c>
      <c r="B3245" s="2" t="s">
        <v>7751</v>
      </c>
      <c r="C3245" s="2" t="s">
        <v>36</v>
      </c>
      <c r="D3245" s="2" t="s">
        <v>37</v>
      </c>
      <c r="E3245" s="5">
        <v>-30156</v>
      </c>
      <c r="F3245" s="3" t="s">
        <v>635</v>
      </c>
      <c r="G3245" s="3" t="s">
        <v>2844</v>
      </c>
      <c r="H3245" s="2" t="s">
        <v>21</v>
      </c>
      <c r="I3245" s="2" t="s">
        <v>7752</v>
      </c>
      <c r="J3245" s="3" t="str">
        <f>HYPERLINK("https://www.boe.es/gazeta/dias/1817/06/07/pdfs/GMD-1817-68.pdf#page=7","Abrir facsímil")</f>
        <v>Abrir facsímil</v>
      </c>
      <c r="K3245" s="3" t="s">
        <v>23</v>
      </c>
    </row>
    <row r="3246" spans="1:11" ht="42" customHeight="1">
      <c r="A3246" s="2" t="s">
        <v>7753</v>
      </c>
      <c r="B3246" s="2" t="s">
        <v>7754</v>
      </c>
      <c r="C3246" s="2" t="s">
        <v>49</v>
      </c>
      <c r="D3246" s="2" t="s">
        <v>44</v>
      </c>
      <c r="E3246" s="5">
        <v>-30097</v>
      </c>
      <c r="F3246" s="3" t="s">
        <v>156</v>
      </c>
      <c r="G3246" s="3" t="s">
        <v>1596</v>
      </c>
      <c r="H3246" s="2" t="s">
        <v>21</v>
      </c>
      <c r="I3246" s="2" t="s">
        <v>7755</v>
      </c>
      <c r="J3246" s="3" t="str">
        <f>HYPERLINK("https://www.boe.es/gazeta/dias/1817/08/05/pdfs/GMD-1817-93.pdf#page=6","Abrir facsímil")</f>
        <v>Abrir facsímil</v>
      </c>
      <c r="K3246" s="3" t="s">
        <v>23</v>
      </c>
    </row>
    <row r="3247" spans="1:11" ht="42" customHeight="1">
      <c r="A3247" s="2" t="s">
        <v>7756</v>
      </c>
      <c r="B3247" s="2" t="s">
        <v>7757</v>
      </c>
      <c r="C3247" s="2" t="s">
        <v>49</v>
      </c>
      <c r="D3247" s="2" t="s">
        <v>44</v>
      </c>
      <c r="E3247" s="5">
        <v>-30097</v>
      </c>
      <c r="F3247" s="3" t="s">
        <v>156</v>
      </c>
      <c r="G3247" s="3" t="s">
        <v>1596</v>
      </c>
      <c r="H3247" s="2" t="s">
        <v>21</v>
      </c>
      <c r="I3247" s="2" t="s">
        <v>7758</v>
      </c>
      <c r="J3247" s="3" t="str">
        <f>HYPERLINK("https://www.boe.es/gazeta/dias/1817/08/05/pdfs/GMD-1817-93.pdf#page=6","Abrir facsímil")</f>
        <v>Abrir facsímil</v>
      </c>
      <c r="K3247" s="3" t="s">
        <v>23</v>
      </c>
    </row>
    <row r="3248" spans="1:11" ht="42" customHeight="1">
      <c r="A3248" s="2" t="s">
        <v>7759</v>
      </c>
      <c r="B3248" s="2" t="s">
        <v>7760</v>
      </c>
      <c r="C3248" s="2" t="s">
        <v>36</v>
      </c>
      <c r="D3248" s="2" t="s">
        <v>37</v>
      </c>
      <c r="E3248" s="5">
        <v>-30307</v>
      </c>
      <c r="F3248" s="3" t="s">
        <v>67</v>
      </c>
      <c r="G3248" s="3" t="s">
        <v>1785</v>
      </c>
      <c r="H3248" s="2" t="s">
        <v>21</v>
      </c>
      <c r="I3248" s="2" t="s">
        <v>7761</v>
      </c>
      <c r="J3248" s="3" t="str">
        <f>HYPERLINK("https://www.boe.es/gazeta/dias/1817/01/07/pdfs/GMD-1817-3.pdf#page=4","Abrir facsímil")</f>
        <v>Abrir facsímil</v>
      </c>
      <c r="K3248" s="3" t="s">
        <v>23</v>
      </c>
    </row>
    <row r="3249" spans="1:11" ht="42" customHeight="1">
      <c r="A3249" s="2" t="s">
        <v>7762</v>
      </c>
      <c r="B3249" s="2" t="s">
        <v>7762</v>
      </c>
      <c r="C3249" s="2" t="s">
        <v>43</v>
      </c>
      <c r="D3249" s="2" t="s">
        <v>44</v>
      </c>
      <c r="E3249" s="5">
        <v>-30046</v>
      </c>
      <c r="F3249" s="3" t="s">
        <v>214</v>
      </c>
      <c r="G3249" s="3" t="s">
        <v>3491</v>
      </c>
      <c r="H3249" s="2" t="s">
        <v>21</v>
      </c>
      <c r="I3249" s="2" t="s">
        <v>7763</v>
      </c>
      <c r="J3249" s="3" t="str">
        <f>HYPERLINK("https://www.boe.es/gazeta/dias/1817/09/25/pdfs/GMD-1817-115.pdf#page=5","Abrir facsímil")</f>
        <v>Abrir facsímil</v>
      </c>
      <c r="K3249" s="3" t="s">
        <v>23</v>
      </c>
    </row>
    <row r="3250" spans="1:11" ht="42" customHeight="1">
      <c r="A3250" s="2" t="s">
        <v>7764</v>
      </c>
      <c r="B3250" s="2" t="s">
        <v>7765</v>
      </c>
      <c r="C3250" s="2" t="s">
        <v>55</v>
      </c>
      <c r="D3250" s="2" t="s">
        <v>44</v>
      </c>
      <c r="E3250" s="5">
        <v>-30265</v>
      </c>
      <c r="F3250" s="3" t="s">
        <v>107</v>
      </c>
      <c r="G3250" s="3" t="s">
        <v>4980</v>
      </c>
      <c r="H3250" s="2" t="s">
        <v>21</v>
      </c>
      <c r="I3250" s="2" t="s">
        <v>7766</v>
      </c>
      <c r="J3250" s="3" t="str">
        <f>HYPERLINK("https://www.boe.es/gazeta/dias/1817/02/18/pdfs/GMD-1817-21.pdf#page=4","Abrir facsímil")</f>
        <v>Abrir facsímil</v>
      </c>
      <c r="K3250" s="3" t="s">
        <v>23</v>
      </c>
    </row>
    <row r="3251" spans="1:11" ht="42" customHeight="1">
      <c r="A3251" s="2" t="s">
        <v>7767</v>
      </c>
      <c r="B3251" s="2" t="s">
        <v>7768</v>
      </c>
      <c r="C3251" s="2" t="s">
        <v>138</v>
      </c>
      <c r="D3251" s="2" t="s">
        <v>44</v>
      </c>
      <c r="E3251" s="5">
        <v>-30032</v>
      </c>
      <c r="F3251" s="3" t="s">
        <v>337</v>
      </c>
      <c r="G3251" s="3" t="s">
        <v>77</v>
      </c>
      <c r="H3251" s="2" t="s">
        <v>21</v>
      </c>
      <c r="I3251" s="2" t="s">
        <v>7769</v>
      </c>
      <c r="J3251" s="3" t="str">
        <f>HYPERLINK("https://www.boe.es/gazeta/dias/1817/10/09/pdfs/GMD-1817-121.pdf#page=8","Abrir facsímil")</f>
        <v>Abrir facsímil</v>
      </c>
      <c r="K3251" s="3" t="s">
        <v>23</v>
      </c>
    </row>
    <row r="3252" spans="1:11" ht="42" customHeight="1">
      <c r="A3252" s="2" t="s">
        <v>7770</v>
      </c>
      <c r="B3252" s="2" t="s">
        <v>7771</v>
      </c>
      <c r="C3252" s="2" t="s">
        <v>36</v>
      </c>
      <c r="D3252" s="2" t="s">
        <v>37</v>
      </c>
      <c r="E3252" s="5">
        <v>-30221</v>
      </c>
      <c r="F3252" s="3" t="s">
        <v>256</v>
      </c>
      <c r="G3252" s="3" t="s">
        <v>77</v>
      </c>
      <c r="H3252" s="2" t="s">
        <v>21</v>
      </c>
      <c r="I3252" s="2" t="s">
        <v>7772</v>
      </c>
      <c r="J3252" s="3" t="str">
        <f>HYPERLINK("https://www.boe.es/gazeta/dias/1817/04/03/pdfs/GMD-1817-40.pdf#page=8","Abrir facsímil")</f>
        <v>Abrir facsímil</v>
      </c>
      <c r="K3252" s="3" t="s">
        <v>23</v>
      </c>
    </row>
    <row r="3253" spans="1:11" ht="42" customHeight="1">
      <c r="A3253" s="2" t="s">
        <v>7773</v>
      </c>
      <c r="B3253" s="2" t="s">
        <v>7774</v>
      </c>
      <c r="C3253" s="2" t="s">
        <v>36</v>
      </c>
      <c r="D3253" s="2" t="s">
        <v>37</v>
      </c>
      <c r="E3253" s="5">
        <v>-30207</v>
      </c>
      <c r="F3253" s="3" t="s">
        <v>1139</v>
      </c>
      <c r="G3253" s="3" t="s">
        <v>144</v>
      </c>
      <c r="H3253" s="2" t="s">
        <v>21</v>
      </c>
      <c r="I3253" s="2" t="s">
        <v>7775</v>
      </c>
      <c r="J3253" s="3" t="str">
        <f>HYPERLINK("https://www.boe.es/gazeta/dias/1817/04/17/pdfs/GMD-1817-46.pdf#page=4","Abrir facsímil")</f>
        <v>Abrir facsímil</v>
      </c>
      <c r="K3253" s="3" t="s">
        <v>23</v>
      </c>
    </row>
    <row r="3254" spans="1:11" ht="42" customHeight="1">
      <c r="A3254" s="2" t="s">
        <v>7776</v>
      </c>
      <c r="B3254" s="2" t="s">
        <v>7777</v>
      </c>
      <c r="C3254" s="2" t="s">
        <v>17</v>
      </c>
      <c r="D3254" s="2" t="s">
        <v>18</v>
      </c>
      <c r="E3254" s="5">
        <v>-30277</v>
      </c>
      <c r="F3254" s="3" t="s">
        <v>3822</v>
      </c>
      <c r="G3254" s="3" t="s">
        <v>144</v>
      </c>
      <c r="H3254" s="2" t="s">
        <v>21</v>
      </c>
      <c r="I3254" s="2" t="s">
        <v>7778</v>
      </c>
      <c r="J3254" s="3" t="str">
        <f>HYPERLINK("https://www.boe.es/gazeta/dias/1817/02/06/pdfs/GMD-1817-16.pdf#page=4","Abrir facsímil")</f>
        <v>Abrir facsímil</v>
      </c>
      <c r="K3254" s="3" t="s">
        <v>23</v>
      </c>
    </row>
    <row r="3255" spans="1:11" ht="42" customHeight="1">
      <c r="A3255" s="2" t="s">
        <v>7779</v>
      </c>
      <c r="B3255" s="2" t="s">
        <v>7780</v>
      </c>
      <c r="C3255" s="2" t="s">
        <v>36</v>
      </c>
      <c r="D3255" s="2" t="s">
        <v>37</v>
      </c>
      <c r="E3255" s="5">
        <v>-30125</v>
      </c>
      <c r="F3255" s="3" t="s">
        <v>102</v>
      </c>
      <c r="G3255" s="3" t="s">
        <v>112</v>
      </c>
      <c r="H3255" s="2" t="s">
        <v>21</v>
      </c>
      <c r="I3255" s="2" t="s">
        <v>7781</v>
      </c>
      <c r="J3255" s="3" t="str">
        <f>HYPERLINK("https://www.boe.es/gazeta/dias/1817/07/08/pdfs/GMD-1817-81.pdf#page=11","Abrir facsímil")</f>
        <v>Abrir facsímil</v>
      </c>
      <c r="K3255" s="3" t="s">
        <v>23</v>
      </c>
    </row>
    <row r="3256" spans="1:11" ht="42" customHeight="1">
      <c r="A3256" s="2" t="s">
        <v>7782</v>
      </c>
      <c r="B3256" s="2" t="s">
        <v>7783</v>
      </c>
      <c r="C3256" s="2" t="s">
        <v>36</v>
      </c>
      <c r="D3256" s="2" t="s">
        <v>37</v>
      </c>
      <c r="E3256" s="5">
        <v>-30237</v>
      </c>
      <c r="F3256" s="3" t="s">
        <v>56</v>
      </c>
      <c r="G3256" s="3" t="s">
        <v>77</v>
      </c>
      <c r="H3256" s="2" t="s">
        <v>21</v>
      </c>
      <c r="I3256" s="2" t="s">
        <v>7784</v>
      </c>
      <c r="J3256" s="3" t="str">
        <f>HYPERLINK("https://www.boe.es/gazeta/dias/1817/03/18/pdfs/GMD-1817-33.pdf#page=8","Abrir facsímil")</f>
        <v>Abrir facsímil</v>
      </c>
      <c r="K3256" s="3" t="s">
        <v>23</v>
      </c>
    </row>
    <row r="3257" spans="1:11" ht="42" customHeight="1">
      <c r="A3257" s="2" t="s">
        <v>7785</v>
      </c>
      <c r="B3257" s="2" t="s">
        <v>7786</v>
      </c>
      <c r="C3257" s="2" t="s">
        <v>17</v>
      </c>
      <c r="D3257" s="2" t="s">
        <v>18</v>
      </c>
      <c r="E3257" s="5">
        <v>-30263</v>
      </c>
      <c r="F3257" s="3" t="s">
        <v>1794</v>
      </c>
      <c r="G3257" s="3" t="s">
        <v>57</v>
      </c>
      <c r="H3257" s="2" t="s">
        <v>21</v>
      </c>
      <c r="I3257" s="2" t="s">
        <v>7787</v>
      </c>
      <c r="J3257" s="3" t="str">
        <f>HYPERLINK("https://www.boe.es/gazeta/dias/1817/02/20/pdfs/GMD-1817-22.pdf#page=6","Abrir facsímil")</f>
        <v>Abrir facsímil</v>
      </c>
      <c r="K3257" s="3" t="s">
        <v>23</v>
      </c>
    </row>
    <row r="3258" spans="1:11" ht="42" customHeight="1">
      <c r="A3258" s="2" t="s">
        <v>7788</v>
      </c>
      <c r="B3258" s="2" t="s">
        <v>7789</v>
      </c>
      <c r="C3258" s="2" t="s">
        <v>36</v>
      </c>
      <c r="D3258" s="2" t="s">
        <v>37</v>
      </c>
      <c r="E3258" s="5">
        <v>-30167</v>
      </c>
      <c r="F3258" s="3" t="s">
        <v>153</v>
      </c>
      <c r="G3258" s="3" t="s">
        <v>20</v>
      </c>
      <c r="H3258" s="2" t="s">
        <v>21</v>
      </c>
      <c r="I3258" s="2" t="s">
        <v>7790</v>
      </c>
      <c r="J3258" s="3" t="str">
        <f>HYPERLINK("https://www.boe.es/gazeta/dias/1817/05/27/pdfs/GMD-1817-63.pdf#page=7","Abrir facsímil")</f>
        <v>Abrir facsímil</v>
      </c>
      <c r="K3258" s="3" t="s">
        <v>23</v>
      </c>
    </row>
    <row r="3259" spans="1:11" ht="42" customHeight="1">
      <c r="A3259" s="2" t="s">
        <v>7791</v>
      </c>
      <c r="B3259" s="2" t="s">
        <v>7792</v>
      </c>
      <c r="C3259" s="2" t="s">
        <v>138</v>
      </c>
      <c r="D3259" s="2" t="s">
        <v>44</v>
      </c>
      <c r="E3259" s="5">
        <v>-30135</v>
      </c>
      <c r="F3259" s="3" t="s">
        <v>239</v>
      </c>
      <c r="G3259" s="3" t="s">
        <v>240</v>
      </c>
      <c r="H3259" s="2" t="s">
        <v>27</v>
      </c>
      <c r="I3259" s="2" t="s">
        <v>7793</v>
      </c>
      <c r="J3259" s="3" t="str">
        <f>HYPERLINK("https://www.boe.es/gazeta/dias/1817/06/28/pdfs/GMD-1817-77.pdf#page=7","Abrir facsímil")</f>
        <v>Abrir facsímil</v>
      </c>
      <c r="K3259" s="3" t="s">
        <v>29</v>
      </c>
    </row>
    <row r="3260" spans="1:11" ht="42" customHeight="1">
      <c r="A3260" s="2" t="s">
        <v>7794</v>
      </c>
      <c r="B3260" s="2" t="s">
        <v>7795</v>
      </c>
      <c r="C3260" s="2" t="s">
        <v>36</v>
      </c>
      <c r="D3260" s="2" t="s">
        <v>37</v>
      </c>
      <c r="E3260" s="5">
        <v>-30254</v>
      </c>
      <c r="F3260" s="3" t="s">
        <v>124</v>
      </c>
      <c r="G3260" s="3" t="s">
        <v>57</v>
      </c>
      <c r="H3260" s="2" t="s">
        <v>21</v>
      </c>
      <c r="I3260" s="2" t="s">
        <v>7796</v>
      </c>
      <c r="J3260" s="3" t="str">
        <f>HYPERLINK("https://www.boe.es/gazeta/dias/1817/03/01/pdfs/GMD-1817-26.pdf#page=6","Abrir facsímil")</f>
        <v>Abrir facsímil</v>
      </c>
      <c r="K3260" s="3" t="s">
        <v>23</v>
      </c>
    </row>
    <row r="3261" spans="1:11" ht="42" customHeight="1">
      <c r="A3261" s="2" t="s">
        <v>7797</v>
      </c>
      <c r="B3261" s="2" t="s">
        <v>7798</v>
      </c>
      <c r="C3261" s="2" t="s">
        <v>43</v>
      </c>
      <c r="D3261" s="2" t="s">
        <v>44</v>
      </c>
      <c r="E3261" s="5">
        <v>-30046</v>
      </c>
      <c r="F3261" s="3" t="s">
        <v>214</v>
      </c>
      <c r="G3261" s="3" t="s">
        <v>275</v>
      </c>
      <c r="H3261" s="2" t="s">
        <v>21</v>
      </c>
      <c r="I3261" s="2" t="s">
        <v>7799</v>
      </c>
      <c r="J3261" s="3" t="str">
        <f>HYPERLINK("https://www.boe.es/gazeta/dias/1817/09/25/pdfs/GMD-1817-115.pdf#page=12","Abrir facsímil")</f>
        <v>Abrir facsímil</v>
      </c>
      <c r="K3261" s="3" t="s">
        <v>23</v>
      </c>
    </row>
    <row r="3262" spans="1:11" ht="42" customHeight="1">
      <c r="A3262" s="2" t="s">
        <v>7800</v>
      </c>
      <c r="B3262" s="2" t="s">
        <v>7800</v>
      </c>
      <c r="C3262" s="2" t="s">
        <v>36</v>
      </c>
      <c r="D3262" s="2" t="s">
        <v>37</v>
      </c>
      <c r="E3262" s="5">
        <v>-30300</v>
      </c>
      <c r="F3262" s="3" t="s">
        <v>164</v>
      </c>
      <c r="G3262" s="3" t="s">
        <v>39</v>
      </c>
      <c r="H3262" s="2" t="s">
        <v>21</v>
      </c>
      <c r="I3262" s="2" t="s">
        <v>7801</v>
      </c>
      <c r="J3262" s="3" t="str">
        <f>HYPERLINK("https://www.boe.es/gazeta/dias/1817/01/14/pdfs/GMD-1817-6.pdf#page=5","Abrir facsímil")</f>
        <v>Abrir facsímil</v>
      </c>
      <c r="K3262" s="3" t="s">
        <v>23</v>
      </c>
    </row>
    <row r="3263" spans="1:11" ht="42" customHeight="1">
      <c r="A3263" s="2" t="s">
        <v>7802</v>
      </c>
      <c r="B3263" s="2" t="s">
        <v>7803</v>
      </c>
      <c r="C3263" s="2" t="s">
        <v>36</v>
      </c>
      <c r="D3263" s="2" t="s">
        <v>37</v>
      </c>
      <c r="E3263" s="5">
        <v>-30300</v>
      </c>
      <c r="F3263" s="3" t="s">
        <v>164</v>
      </c>
      <c r="G3263" s="3" t="s">
        <v>39</v>
      </c>
      <c r="H3263" s="2" t="s">
        <v>21</v>
      </c>
      <c r="I3263" s="2" t="s">
        <v>7804</v>
      </c>
      <c r="J3263" s="3" t="str">
        <f>HYPERLINK("https://www.boe.es/gazeta/dias/1817/01/14/pdfs/GMD-1817-6.pdf#page=5","Abrir facsímil")</f>
        <v>Abrir facsímil</v>
      </c>
      <c r="K3263" s="3" t="s">
        <v>23</v>
      </c>
    </row>
    <row r="3264" spans="1:11" ht="42" customHeight="1">
      <c r="A3264" s="2" t="s">
        <v>7802</v>
      </c>
      <c r="B3264" s="2" t="s">
        <v>7803</v>
      </c>
      <c r="C3264" s="2" t="s">
        <v>36</v>
      </c>
      <c r="D3264" s="2" t="s">
        <v>37</v>
      </c>
      <c r="E3264" s="5">
        <v>-30300</v>
      </c>
      <c r="F3264" s="3" t="s">
        <v>164</v>
      </c>
      <c r="G3264" s="3" t="s">
        <v>57</v>
      </c>
      <c r="H3264" s="2" t="s">
        <v>21</v>
      </c>
      <c r="I3264" s="2" t="s">
        <v>7805</v>
      </c>
      <c r="J3264" s="3" t="str">
        <f>HYPERLINK("https://www.boe.es/gazeta/dias/1817/01/14/pdfs/GMD-1817-6.pdf#page=6","Abrir facsímil")</f>
        <v>Abrir facsímil</v>
      </c>
      <c r="K3264" s="3" t="s">
        <v>23</v>
      </c>
    </row>
    <row r="3265" spans="1:11" ht="42" customHeight="1">
      <c r="A3265" s="2" t="s">
        <v>7806</v>
      </c>
      <c r="B3265" s="2" t="s">
        <v>7807</v>
      </c>
      <c r="C3265" s="2" t="s">
        <v>36</v>
      </c>
      <c r="D3265" s="2" t="s">
        <v>37</v>
      </c>
      <c r="E3265" s="5">
        <v>-30284</v>
      </c>
      <c r="F3265" s="3" t="s">
        <v>741</v>
      </c>
      <c r="G3265" s="3" t="s">
        <v>742</v>
      </c>
      <c r="H3265" s="2" t="s">
        <v>21</v>
      </c>
      <c r="I3265" s="2" t="s">
        <v>7808</v>
      </c>
      <c r="J3265" s="3" t="str">
        <f>HYPERLINK("https://www.boe.es/gazeta/dias/1817/01/30/pdfs/GMD-1817-13.pdf#page=4","Abrir facsímil")</f>
        <v>Abrir facsímil</v>
      </c>
      <c r="K3265" s="3" t="s">
        <v>23</v>
      </c>
    </row>
    <row r="3266" spans="1:11" ht="42" customHeight="1">
      <c r="A3266" s="2" t="s">
        <v>7809</v>
      </c>
      <c r="B3266" s="2" t="s">
        <v>7810</v>
      </c>
      <c r="C3266" s="2" t="s">
        <v>36</v>
      </c>
      <c r="D3266" s="2" t="s">
        <v>37</v>
      </c>
      <c r="E3266" s="5">
        <v>-29960</v>
      </c>
      <c r="F3266" s="3" t="s">
        <v>657</v>
      </c>
      <c r="G3266" s="3" t="s">
        <v>57</v>
      </c>
      <c r="H3266" s="2" t="s">
        <v>21</v>
      </c>
      <c r="I3266" s="2" t="s">
        <v>7811</v>
      </c>
      <c r="J3266" s="3" t="str">
        <f>HYPERLINK("https://www.boe.es/gazeta/dias/1817/12/20/pdfs/GMD-1817-152.pdf#page=6","Abrir facsímil")</f>
        <v>Abrir facsímil</v>
      </c>
      <c r="K3266" s="3" t="s">
        <v>23</v>
      </c>
    </row>
    <row r="3267" spans="1:11" ht="42" customHeight="1">
      <c r="A3267" s="2" t="s">
        <v>7812</v>
      </c>
      <c r="B3267" s="2" t="s">
        <v>7813</v>
      </c>
      <c r="C3267" s="2" t="s">
        <v>36</v>
      </c>
      <c r="D3267" s="2" t="s">
        <v>37</v>
      </c>
      <c r="E3267" s="5">
        <v>-30004</v>
      </c>
      <c r="F3267" s="3" t="s">
        <v>329</v>
      </c>
      <c r="G3267" s="3" t="s">
        <v>39</v>
      </c>
      <c r="H3267" s="2" t="s">
        <v>21</v>
      </c>
      <c r="I3267" s="2" t="s">
        <v>7814</v>
      </c>
      <c r="J3267" s="3" t="str">
        <f>HYPERLINK("https://www.boe.es/gazeta/dias/1817/11/06/pdfs/GMD-1817-133.pdf#page=5","Abrir facsímil")</f>
        <v>Abrir facsímil</v>
      </c>
      <c r="K3267" s="3" t="s">
        <v>23</v>
      </c>
    </row>
    <row r="3268" spans="1:11" ht="42" customHeight="1">
      <c r="A3268" s="2" t="s">
        <v>7815</v>
      </c>
      <c r="B3268" s="2" t="s">
        <v>7815</v>
      </c>
      <c r="C3268" s="2" t="s">
        <v>138</v>
      </c>
      <c r="D3268" s="2" t="s">
        <v>44</v>
      </c>
      <c r="E3268" s="5">
        <v>-30139</v>
      </c>
      <c r="F3268" s="3" t="s">
        <v>993</v>
      </c>
      <c r="G3268" s="3" t="s">
        <v>1053</v>
      </c>
      <c r="H3268" s="2" t="s">
        <v>21</v>
      </c>
      <c r="I3268" s="2" t="s">
        <v>7816</v>
      </c>
      <c r="J3268" s="3" t="str">
        <f>HYPERLINK("https://www.boe.es/gazeta/dias/1817/06/24/pdfs/GMD-1817-75.pdf#page=4","Abrir facsímil")</f>
        <v>Abrir facsímil</v>
      </c>
      <c r="K3268" s="3" t="s">
        <v>23</v>
      </c>
    </row>
    <row r="3269" spans="1:11" ht="42" customHeight="1">
      <c r="A3269" s="2" t="s">
        <v>7815</v>
      </c>
      <c r="B3269" s="2" t="s">
        <v>7815</v>
      </c>
      <c r="C3269" s="2" t="s">
        <v>36</v>
      </c>
      <c r="D3269" s="2" t="s">
        <v>37</v>
      </c>
      <c r="E3269" s="5">
        <v>-30034</v>
      </c>
      <c r="F3269" s="3" t="s">
        <v>270</v>
      </c>
      <c r="G3269" s="3" t="s">
        <v>271</v>
      </c>
      <c r="H3269" s="2" t="s">
        <v>21</v>
      </c>
      <c r="I3269" s="2" t="s">
        <v>7817</v>
      </c>
      <c r="J3269" s="3" t="str">
        <f>HYPERLINK("https://www.boe.es/gazeta/dias/1817/10/07/pdfs/GMD-1817-120.pdf#page=8","Abrir facsímil")</f>
        <v>Abrir facsímil</v>
      </c>
      <c r="K3269" s="3" t="s">
        <v>23</v>
      </c>
    </row>
    <row r="3270" spans="1:11" ht="42" customHeight="1">
      <c r="A3270" s="2" t="s">
        <v>7818</v>
      </c>
      <c r="B3270" s="2" t="s">
        <v>7819</v>
      </c>
      <c r="C3270" s="2" t="s">
        <v>17</v>
      </c>
      <c r="D3270" s="2" t="s">
        <v>18</v>
      </c>
      <c r="E3270" s="5">
        <v>-30237</v>
      </c>
      <c r="F3270" s="3" t="s">
        <v>56</v>
      </c>
      <c r="G3270" s="3" t="s">
        <v>77</v>
      </c>
      <c r="H3270" s="2" t="s">
        <v>21</v>
      </c>
      <c r="I3270" s="2" t="s">
        <v>7820</v>
      </c>
      <c r="J3270" s="3" t="str">
        <f>HYPERLINK("https://www.boe.es/gazeta/dias/1817/03/18/pdfs/GMD-1817-33.pdf#page=8","Abrir facsímil")</f>
        <v>Abrir facsímil</v>
      </c>
      <c r="K3270" s="3" t="s">
        <v>23</v>
      </c>
    </row>
    <row r="3271" spans="1:11" ht="42" customHeight="1">
      <c r="A3271" s="2" t="s">
        <v>7821</v>
      </c>
      <c r="B3271" s="2" t="s">
        <v>7822</v>
      </c>
      <c r="C3271" s="2" t="s">
        <v>97</v>
      </c>
      <c r="D3271" s="2" t="s">
        <v>44</v>
      </c>
      <c r="E3271" s="5">
        <v>-30237</v>
      </c>
      <c r="F3271" s="3" t="s">
        <v>56</v>
      </c>
      <c r="G3271" s="3" t="s">
        <v>77</v>
      </c>
      <c r="H3271" s="2" t="s">
        <v>21</v>
      </c>
      <c r="I3271" s="2" t="s">
        <v>7823</v>
      </c>
      <c r="J3271" s="3" t="str">
        <f>HYPERLINK("https://www.boe.es/gazeta/dias/1817/03/18/pdfs/GMD-1817-33.pdf#page=8","Abrir facsímil")</f>
        <v>Abrir facsímil</v>
      </c>
      <c r="K3271" s="3" t="s">
        <v>23</v>
      </c>
    </row>
    <row r="3272" spans="1:11" ht="42" customHeight="1">
      <c r="A3272" s="2" t="s">
        <v>7824</v>
      </c>
      <c r="B3272" s="2" t="s">
        <v>7825</v>
      </c>
      <c r="C3272" s="2" t="s">
        <v>36</v>
      </c>
      <c r="D3272" s="2" t="s">
        <v>37</v>
      </c>
      <c r="E3272" s="5">
        <v>-30027</v>
      </c>
      <c r="F3272" s="3" t="s">
        <v>173</v>
      </c>
      <c r="G3272" s="3" t="s">
        <v>708</v>
      </c>
      <c r="H3272" s="2" t="s">
        <v>21</v>
      </c>
      <c r="I3272" s="2" t="s">
        <v>7826</v>
      </c>
      <c r="J3272" s="3" t="str">
        <f>HYPERLINK("https://www.boe.es/gazeta/dias/1817/10/14/pdfs/GMD-1817-123.pdf#page=6","Abrir facsímil")</f>
        <v>Abrir facsímil</v>
      </c>
      <c r="K3272" s="3" t="s">
        <v>23</v>
      </c>
    </row>
    <row r="3273" spans="1:11" ht="42" customHeight="1">
      <c r="A3273" s="2" t="s">
        <v>7827</v>
      </c>
      <c r="B3273" s="2" t="s">
        <v>7828</v>
      </c>
      <c r="C3273" s="2" t="s">
        <v>49</v>
      </c>
      <c r="D3273" s="2" t="s">
        <v>44</v>
      </c>
      <c r="E3273" s="5">
        <v>-30125</v>
      </c>
      <c r="F3273" s="3" t="s">
        <v>102</v>
      </c>
      <c r="G3273" s="3" t="s">
        <v>144</v>
      </c>
      <c r="H3273" s="2" t="s">
        <v>21</v>
      </c>
      <c r="I3273" s="2" t="s">
        <v>7829</v>
      </c>
      <c r="J3273" s="3" t="str">
        <f>HYPERLINK("https://www.boe.es/gazeta/dias/1817/07/08/pdfs/GMD-1817-81.pdf#page=4","Abrir facsímil")</f>
        <v>Abrir facsímil</v>
      </c>
      <c r="K3273" s="3" t="s">
        <v>23</v>
      </c>
    </row>
    <row r="3274" spans="1:11" ht="42" customHeight="1">
      <c r="A3274" s="2" t="s">
        <v>7830</v>
      </c>
      <c r="B3274" s="2" t="s">
        <v>7831</v>
      </c>
      <c r="C3274" s="2" t="s">
        <v>43</v>
      </c>
      <c r="D3274" s="2" t="s">
        <v>44</v>
      </c>
      <c r="E3274" s="5">
        <v>-30079</v>
      </c>
      <c r="F3274" s="3" t="s">
        <v>45</v>
      </c>
      <c r="G3274" s="3" t="s">
        <v>39</v>
      </c>
      <c r="H3274" s="2" t="s">
        <v>21</v>
      </c>
      <c r="I3274" s="2" t="s">
        <v>7832</v>
      </c>
      <c r="J3274" s="3" t="str">
        <f>HYPERLINK("https://www.boe.es/gazeta/dias/1817/08/23/pdfs/GMD-1817-101.pdf#page=5","Abrir facsímil")</f>
        <v>Abrir facsímil</v>
      </c>
      <c r="K3274" s="3" t="s">
        <v>23</v>
      </c>
    </row>
    <row r="3275" spans="1:11" ht="42" customHeight="1">
      <c r="A3275" s="2" t="s">
        <v>7833</v>
      </c>
      <c r="B3275" s="2" t="s">
        <v>7834</v>
      </c>
      <c r="C3275" s="2" t="s">
        <v>36</v>
      </c>
      <c r="D3275" s="2" t="s">
        <v>37</v>
      </c>
      <c r="E3275" s="5">
        <v>-30083</v>
      </c>
      <c r="F3275" s="3" t="s">
        <v>1273</v>
      </c>
      <c r="G3275" s="3" t="s">
        <v>20</v>
      </c>
      <c r="H3275" s="2" t="s">
        <v>21</v>
      </c>
      <c r="I3275" s="2" t="s">
        <v>7835</v>
      </c>
      <c r="J3275" s="3" t="str">
        <f>HYPERLINK("https://www.boe.es/gazeta/dias/1817/08/19/pdfs/GMD-1817-99.pdf#page=7","Abrir facsímil")</f>
        <v>Abrir facsímil</v>
      </c>
      <c r="K3275" s="3" t="s">
        <v>23</v>
      </c>
    </row>
    <row r="3276" spans="1:11" ht="42" customHeight="1">
      <c r="A3276" s="2" t="s">
        <v>7836</v>
      </c>
      <c r="B3276" s="2" t="s">
        <v>7837</v>
      </c>
      <c r="C3276" s="2" t="s">
        <v>55</v>
      </c>
      <c r="D3276" s="2" t="s">
        <v>44</v>
      </c>
      <c r="E3276" s="5">
        <v>-30163</v>
      </c>
      <c r="F3276" s="3" t="s">
        <v>166</v>
      </c>
      <c r="G3276" s="3" t="s">
        <v>2525</v>
      </c>
      <c r="H3276" s="2" t="s">
        <v>21</v>
      </c>
      <c r="I3276" s="2" t="s">
        <v>7838</v>
      </c>
      <c r="J3276" s="3" t="str">
        <f>HYPERLINK("https://www.boe.es/gazeta/dias/1817/05/31/pdfs/GMD-1817-65.pdf#page=8","Abrir facsímil")</f>
        <v>Abrir facsímil</v>
      </c>
      <c r="K3276" s="3" t="s">
        <v>23</v>
      </c>
    </row>
    <row r="3277" spans="1:11" ht="42" customHeight="1">
      <c r="A3277" s="2" t="s">
        <v>7839</v>
      </c>
      <c r="B3277" s="2" t="s">
        <v>7840</v>
      </c>
      <c r="C3277" s="2" t="s">
        <v>43</v>
      </c>
      <c r="D3277" s="2" t="s">
        <v>44</v>
      </c>
      <c r="E3277" s="5">
        <v>-30013</v>
      </c>
      <c r="F3277" s="3" t="s">
        <v>464</v>
      </c>
      <c r="G3277" s="3" t="s">
        <v>39</v>
      </c>
      <c r="H3277" s="2" t="s">
        <v>21</v>
      </c>
      <c r="I3277" s="2" t="s">
        <v>7841</v>
      </c>
      <c r="J3277" s="3" t="str">
        <f>HYPERLINK("https://www.boe.es/gazeta/dias/1817/10/28/pdfs/GMD-1817-129.pdf#page=5","Abrir facsímil")</f>
        <v>Abrir facsímil</v>
      </c>
      <c r="K3277" s="3" t="s">
        <v>23</v>
      </c>
    </row>
    <row r="3278" spans="1:11" ht="42" customHeight="1">
      <c r="A3278" s="2" t="s">
        <v>7842</v>
      </c>
      <c r="B3278" s="2" t="s">
        <v>7843</v>
      </c>
      <c r="C3278" s="2" t="s">
        <v>17</v>
      </c>
      <c r="D3278" s="2" t="s">
        <v>18</v>
      </c>
      <c r="E3278" s="5">
        <v>-29983</v>
      </c>
      <c r="F3278" s="3" t="s">
        <v>148</v>
      </c>
      <c r="G3278" s="3" t="s">
        <v>654</v>
      </c>
      <c r="H3278" s="2" t="s">
        <v>21</v>
      </c>
      <c r="I3278" s="2" t="s">
        <v>7844</v>
      </c>
      <c r="J3278" s="3" t="str">
        <f>HYPERLINK("https://www.boe.es/gazeta/dias/1817/11/27/pdfs/GMD-1817-142.pdf#page=4","Abrir facsímil")</f>
        <v>Abrir facsímil</v>
      </c>
      <c r="K3278" s="3" t="s">
        <v>23</v>
      </c>
    </row>
    <row r="3279" spans="1:11" ht="42" customHeight="1">
      <c r="A3279" s="2" t="s">
        <v>7845</v>
      </c>
      <c r="B3279" s="2" t="s">
        <v>7846</v>
      </c>
      <c r="C3279" s="2" t="s">
        <v>43</v>
      </c>
      <c r="D3279" s="2" t="s">
        <v>44</v>
      </c>
      <c r="E3279" s="5">
        <v>-30069</v>
      </c>
      <c r="F3279" s="3" t="s">
        <v>817</v>
      </c>
      <c r="G3279" s="3" t="s">
        <v>20</v>
      </c>
      <c r="H3279" s="2" t="s">
        <v>21</v>
      </c>
      <c r="I3279" s="2" t="s">
        <v>7847</v>
      </c>
      <c r="J3279" s="3" t="str">
        <f>HYPERLINK("https://www.boe.es/gazeta/dias/1817/09/02/pdfs/GMD-1817-105.pdf#page=7","Abrir facsímil")</f>
        <v>Abrir facsímil</v>
      </c>
      <c r="K3279" s="3" t="s">
        <v>23</v>
      </c>
    </row>
    <row r="3280" spans="1:11" ht="42" customHeight="1">
      <c r="A3280" s="2" t="s">
        <v>7848</v>
      </c>
      <c r="B3280" s="2" t="s">
        <v>7849</v>
      </c>
      <c r="C3280" s="2" t="s">
        <v>36</v>
      </c>
      <c r="D3280" s="2" t="s">
        <v>37</v>
      </c>
      <c r="E3280" s="5">
        <v>-29967</v>
      </c>
      <c r="F3280" s="3" t="s">
        <v>183</v>
      </c>
      <c r="G3280" s="3" t="s">
        <v>7850</v>
      </c>
      <c r="H3280" s="2" t="s">
        <v>21</v>
      </c>
      <c r="I3280" s="2" t="s">
        <v>7851</v>
      </c>
      <c r="J3280" s="3" t="str">
        <f>HYPERLINK("https://www.boe.es/gazeta/dias/1817/12/13/pdfs/GMD-1817-149.pdf#page=5","Abrir facsímil")</f>
        <v>Abrir facsímil</v>
      </c>
      <c r="K3280" s="3" t="s">
        <v>23</v>
      </c>
    </row>
    <row r="3281" spans="1:11" ht="42" customHeight="1">
      <c r="A3281" s="2" t="s">
        <v>7852</v>
      </c>
      <c r="B3281" s="2" t="s">
        <v>7853</v>
      </c>
      <c r="C3281" s="2" t="s">
        <v>43</v>
      </c>
      <c r="D3281" s="2" t="s">
        <v>44</v>
      </c>
      <c r="E3281" s="5">
        <v>-30079</v>
      </c>
      <c r="F3281" s="3" t="s">
        <v>45</v>
      </c>
      <c r="G3281" s="3" t="s">
        <v>39</v>
      </c>
      <c r="H3281" s="2" t="s">
        <v>21</v>
      </c>
      <c r="I3281" s="2" t="s">
        <v>7854</v>
      </c>
      <c r="J3281" s="3" t="str">
        <f>HYPERLINK("https://www.boe.es/gazeta/dias/1817/08/23/pdfs/GMD-1817-101.pdf#page=5","Abrir facsímil")</f>
        <v>Abrir facsímil</v>
      </c>
      <c r="K3281" s="3" t="s">
        <v>23</v>
      </c>
    </row>
    <row r="3282" spans="1:11" ht="42" customHeight="1">
      <c r="A3282" s="2" t="s">
        <v>7855</v>
      </c>
      <c r="B3282" s="2" t="s">
        <v>7856</v>
      </c>
      <c r="C3282" s="2" t="s">
        <v>17</v>
      </c>
      <c r="D3282" s="2" t="s">
        <v>18</v>
      </c>
      <c r="E3282" s="5">
        <v>-30303</v>
      </c>
      <c r="F3282" s="3" t="s">
        <v>407</v>
      </c>
      <c r="G3282" s="3" t="s">
        <v>39</v>
      </c>
      <c r="H3282" s="2" t="s">
        <v>21</v>
      </c>
      <c r="I3282" s="2" t="s">
        <v>7857</v>
      </c>
      <c r="J3282" s="3" t="str">
        <f>HYPERLINK("https://www.boe.es/gazeta/dias/1817/01/11/pdfs/GMD-1817-5.pdf#page=5","Abrir facsímil")</f>
        <v>Abrir facsímil</v>
      </c>
      <c r="K3282" s="3" t="s">
        <v>23</v>
      </c>
    </row>
    <row r="3283" spans="1:11" ht="42" customHeight="1">
      <c r="A3283" s="2" t="s">
        <v>7858</v>
      </c>
      <c r="B3283" s="2" t="s">
        <v>7859</v>
      </c>
      <c r="C3283" s="2" t="s">
        <v>17</v>
      </c>
      <c r="D3283" s="2" t="s">
        <v>18</v>
      </c>
      <c r="E3283" s="5">
        <v>-30184</v>
      </c>
      <c r="F3283" s="3" t="s">
        <v>423</v>
      </c>
      <c r="G3283" s="3" t="s">
        <v>20</v>
      </c>
      <c r="H3283" s="2" t="s">
        <v>21</v>
      </c>
      <c r="I3283" s="2" t="s">
        <v>7860</v>
      </c>
      <c r="J3283" s="3" t="str">
        <f>HYPERLINK("https://www.boe.es/gazeta/dias/1817/05/10/pdfs/GMD-1817-56.pdf#page=7","Abrir facsímil")</f>
        <v>Abrir facsímil</v>
      </c>
      <c r="K3283" s="3" t="s">
        <v>23</v>
      </c>
    </row>
    <row r="3284" spans="1:11" ht="42" customHeight="1">
      <c r="A3284" s="2" t="s">
        <v>7861</v>
      </c>
      <c r="B3284" s="2" t="s">
        <v>7862</v>
      </c>
      <c r="C3284" s="2" t="s">
        <v>510</v>
      </c>
      <c r="D3284" s="2" t="s">
        <v>44</v>
      </c>
      <c r="E3284" s="5">
        <v>-30184</v>
      </c>
      <c r="F3284" s="3" t="s">
        <v>423</v>
      </c>
      <c r="G3284" s="3" t="s">
        <v>20</v>
      </c>
      <c r="H3284" s="2" t="s">
        <v>21</v>
      </c>
      <c r="I3284" s="2" t="s">
        <v>7863</v>
      </c>
      <c r="J3284" s="3" t="str">
        <f>HYPERLINK("https://www.boe.es/gazeta/dias/1817/05/10/pdfs/GMD-1817-56.pdf#page=7","Abrir facsímil")</f>
        <v>Abrir facsímil</v>
      </c>
      <c r="K3284" s="3" t="s">
        <v>23</v>
      </c>
    </row>
    <row r="3285" spans="1:11" ht="42" customHeight="1">
      <c r="A3285" s="2" t="s">
        <v>7864</v>
      </c>
      <c r="B3285" s="2" t="s">
        <v>7865</v>
      </c>
      <c r="C3285" s="2" t="s">
        <v>17</v>
      </c>
      <c r="D3285" s="2" t="s">
        <v>18</v>
      </c>
      <c r="E3285" s="5">
        <v>-30139</v>
      </c>
      <c r="F3285" s="3" t="s">
        <v>993</v>
      </c>
      <c r="G3285" s="3" t="s">
        <v>77</v>
      </c>
      <c r="H3285" s="2" t="s">
        <v>21</v>
      </c>
      <c r="I3285" s="2" t="s">
        <v>7866</v>
      </c>
      <c r="J3285" s="3" t="str">
        <f>HYPERLINK("https://www.boe.es/gazeta/dias/1817/06/24/pdfs/GMD-1817-75.pdf#page=8","Abrir facsímil")</f>
        <v>Abrir facsímil</v>
      </c>
      <c r="K3285" s="3" t="s">
        <v>23</v>
      </c>
    </row>
    <row r="3286" spans="1:11" ht="42" customHeight="1">
      <c r="A3286" s="2" t="s">
        <v>7867</v>
      </c>
      <c r="B3286" s="2" t="s">
        <v>7867</v>
      </c>
      <c r="C3286" s="2" t="s">
        <v>43</v>
      </c>
      <c r="D3286" s="2" t="s">
        <v>44</v>
      </c>
      <c r="E3286" s="5">
        <v>-30139</v>
      </c>
      <c r="F3286" s="3" t="s">
        <v>993</v>
      </c>
      <c r="G3286" s="3" t="s">
        <v>77</v>
      </c>
      <c r="H3286" s="2" t="s">
        <v>21</v>
      </c>
      <c r="I3286" s="2" t="s">
        <v>7868</v>
      </c>
      <c r="J3286" s="3" t="str">
        <f>HYPERLINK("https://www.boe.es/gazeta/dias/1817/06/24/pdfs/GMD-1817-75.pdf#page=8","Abrir facsímil")</f>
        <v>Abrir facsímil</v>
      </c>
      <c r="K3286" s="3" t="s">
        <v>23</v>
      </c>
    </row>
    <row r="3287" spans="1:11" ht="42" customHeight="1">
      <c r="A3287" s="2" t="s">
        <v>7869</v>
      </c>
      <c r="B3287" s="2" t="s">
        <v>7870</v>
      </c>
      <c r="C3287" s="2" t="s">
        <v>17</v>
      </c>
      <c r="D3287" s="2" t="s">
        <v>18</v>
      </c>
      <c r="E3287" s="5">
        <v>-30158</v>
      </c>
      <c r="F3287" s="3" t="s">
        <v>305</v>
      </c>
      <c r="G3287" s="3" t="s">
        <v>77</v>
      </c>
      <c r="H3287" s="2" t="s">
        <v>21</v>
      </c>
      <c r="I3287" s="2" t="s">
        <v>7871</v>
      </c>
      <c r="J3287" s="3" t="str">
        <f>HYPERLINK("https://www.boe.es/gazeta/dias/1817/06/05/pdfs/GMD-1817-67.pdf#page=8","Abrir facsímil")</f>
        <v>Abrir facsímil</v>
      </c>
      <c r="K3287" s="3" t="s">
        <v>23</v>
      </c>
    </row>
    <row r="3288" spans="1:11" ht="42" customHeight="1">
      <c r="A3288" s="2" t="s">
        <v>7869</v>
      </c>
      <c r="B3288" s="2" t="s">
        <v>7870</v>
      </c>
      <c r="C3288" s="2" t="s">
        <v>17</v>
      </c>
      <c r="D3288" s="2" t="s">
        <v>18</v>
      </c>
      <c r="E3288" s="5">
        <v>-30095</v>
      </c>
      <c r="F3288" s="3" t="s">
        <v>365</v>
      </c>
      <c r="G3288" s="3" t="s">
        <v>112</v>
      </c>
      <c r="H3288" s="2" t="s">
        <v>21</v>
      </c>
      <c r="I3288" s="2" t="s">
        <v>7872</v>
      </c>
      <c r="J3288" s="3" t="str">
        <f>HYPERLINK("https://www.boe.es/gazeta/dias/1817/08/07/pdfs/GMD-1817-94.pdf#page=11","Abrir facsímil")</f>
        <v>Abrir facsímil</v>
      </c>
      <c r="K3288" s="3" t="s">
        <v>23</v>
      </c>
    </row>
    <row r="3289" spans="1:11" ht="42" customHeight="1">
      <c r="A3289" s="2" t="s">
        <v>7873</v>
      </c>
      <c r="B3289" s="2" t="s">
        <v>7874</v>
      </c>
      <c r="C3289" s="2" t="s">
        <v>17</v>
      </c>
      <c r="D3289" s="2" t="s">
        <v>18</v>
      </c>
      <c r="E3289" s="5">
        <v>-30284</v>
      </c>
      <c r="F3289" s="3" t="s">
        <v>741</v>
      </c>
      <c r="G3289" s="3" t="s">
        <v>4681</v>
      </c>
      <c r="H3289" s="2" t="s">
        <v>21</v>
      </c>
      <c r="I3289" s="2" t="s">
        <v>7875</v>
      </c>
      <c r="J3289" s="3" t="str">
        <f>HYPERLINK("https://www.boe.es/gazeta/dias/1817/01/30/pdfs/GMD-1817-13.pdf#page=5","Abrir facsímil")</f>
        <v>Abrir facsímil</v>
      </c>
      <c r="K3289" s="3" t="s">
        <v>23</v>
      </c>
    </row>
    <row r="3290" spans="1:11" ht="42" customHeight="1">
      <c r="A3290" s="2" t="s">
        <v>7876</v>
      </c>
      <c r="B3290" s="2" t="s">
        <v>7877</v>
      </c>
      <c r="C3290" s="2" t="s">
        <v>17</v>
      </c>
      <c r="D3290" s="2" t="s">
        <v>18</v>
      </c>
      <c r="E3290" s="5">
        <v>-30305</v>
      </c>
      <c r="F3290" s="3" t="s">
        <v>405</v>
      </c>
      <c r="G3290" s="3" t="s">
        <v>4670</v>
      </c>
      <c r="H3290" s="2" t="s">
        <v>21</v>
      </c>
      <c r="I3290" s="2" t="s">
        <v>7878</v>
      </c>
      <c r="J3290" s="3" t="str">
        <f>HYPERLINK("https://www.boe.es/gazeta/dias/1817/01/09/pdfs/GMD-1817-4.pdf#page=6","Abrir facsímil")</f>
        <v>Abrir facsímil</v>
      </c>
      <c r="K3290" s="3" t="s">
        <v>23</v>
      </c>
    </row>
    <row r="3291" spans="1:11" ht="42" customHeight="1">
      <c r="A3291" s="2" t="s">
        <v>7879</v>
      </c>
      <c r="B3291" s="2" t="s">
        <v>7880</v>
      </c>
      <c r="C3291" s="2" t="s">
        <v>36</v>
      </c>
      <c r="D3291" s="2" t="s">
        <v>37</v>
      </c>
      <c r="E3291" s="5">
        <v>-30095</v>
      </c>
      <c r="F3291" s="3" t="s">
        <v>365</v>
      </c>
      <c r="G3291" s="3" t="s">
        <v>82</v>
      </c>
      <c r="H3291" s="2" t="s">
        <v>21</v>
      </c>
      <c r="I3291" s="2" t="s">
        <v>7881</v>
      </c>
      <c r="J3291" s="3" t="str">
        <f>HYPERLINK("https://www.boe.es/gazeta/dias/1817/08/07/pdfs/GMD-1817-94.pdf#page=12","Abrir facsímil")</f>
        <v>Abrir facsímil</v>
      </c>
      <c r="K3291" s="3" t="s">
        <v>23</v>
      </c>
    </row>
    <row r="3292" spans="1:11" ht="42" customHeight="1">
      <c r="A3292" s="2" t="s">
        <v>7882</v>
      </c>
      <c r="B3292" s="2" t="s">
        <v>7883</v>
      </c>
      <c r="C3292" s="2" t="s">
        <v>97</v>
      </c>
      <c r="D3292" s="2" t="s">
        <v>44</v>
      </c>
      <c r="E3292" s="5">
        <v>-29976</v>
      </c>
      <c r="F3292" s="3" t="s">
        <v>81</v>
      </c>
      <c r="G3292" s="3" t="s">
        <v>82</v>
      </c>
      <c r="H3292" s="2" t="s">
        <v>21</v>
      </c>
      <c r="I3292" s="2" t="s">
        <v>7884</v>
      </c>
      <c r="J3292" s="3" t="str">
        <f>HYPERLINK("https://www.boe.es/gazeta/dias/1817/12/04/pdfs/GMD-1817-145.pdf#page=12","Abrir facsímil")</f>
        <v>Abrir facsímil</v>
      </c>
      <c r="K3292" s="3" t="s">
        <v>23</v>
      </c>
    </row>
    <row r="3293" spans="1:11" ht="42" customHeight="1">
      <c r="A3293" s="2" t="s">
        <v>7885</v>
      </c>
      <c r="B3293" s="2" t="s">
        <v>7886</v>
      </c>
      <c r="C3293" s="2" t="s">
        <v>17</v>
      </c>
      <c r="D3293" s="2" t="s">
        <v>18</v>
      </c>
      <c r="E3293" s="5">
        <v>-30086</v>
      </c>
      <c r="F3293" s="3" t="s">
        <v>221</v>
      </c>
      <c r="G3293" s="3" t="s">
        <v>222</v>
      </c>
      <c r="H3293" s="2" t="s">
        <v>21</v>
      </c>
      <c r="I3293" s="2" t="s">
        <v>7887</v>
      </c>
      <c r="J3293" s="3" t="str">
        <f>HYPERLINK("https://www.boe.es/gazeta/dias/1817/08/16/pdfs/GMD-1817-98.pdf#page=8","Abrir facsímil")</f>
        <v>Abrir facsímil</v>
      </c>
      <c r="K3293" s="3" t="s">
        <v>23</v>
      </c>
    </row>
    <row r="3294" spans="1:11" ht="42" customHeight="1">
      <c r="A3294" s="2" t="s">
        <v>7888</v>
      </c>
      <c r="B3294" s="2" t="s">
        <v>7889</v>
      </c>
      <c r="C3294" s="2" t="s">
        <v>36</v>
      </c>
      <c r="D3294" s="2" t="s">
        <v>37</v>
      </c>
      <c r="E3294" s="5">
        <v>-30200</v>
      </c>
      <c r="F3294" s="3" t="s">
        <v>725</v>
      </c>
      <c r="G3294" s="3" t="s">
        <v>2963</v>
      </c>
      <c r="H3294" s="2" t="s">
        <v>21</v>
      </c>
      <c r="I3294" s="2" t="s">
        <v>7890</v>
      </c>
      <c r="J3294" s="3" t="str">
        <f>HYPERLINK("https://www.boe.es/gazeta/dias/1817/04/24/pdfs/GMD-1817-49.pdf#page=3","Abrir facsímil")</f>
        <v>Abrir facsímil</v>
      </c>
      <c r="K3294" s="3" t="s">
        <v>23</v>
      </c>
    </row>
    <row r="3295" spans="1:11" ht="42" customHeight="1">
      <c r="A3295" s="2" t="s">
        <v>7888</v>
      </c>
      <c r="B3295" s="2" t="s">
        <v>7889</v>
      </c>
      <c r="C3295" s="2" t="s">
        <v>36</v>
      </c>
      <c r="D3295" s="2" t="s">
        <v>37</v>
      </c>
      <c r="E3295" s="5">
        <v>-30179</v>
      </c>
      <c r="F3295" s="3" t="s">
        <v>391</v>
      </c>
      <c r="G3295" s="3" t="s">
        <v>7891</v>
      </c>
      <c r="H3295" s="2" t="s">
        <v>21</v>
      </c>
      <c r="I3295" s="2" t="s">
        <v>7892</v>
      </c>
      <c r="J3295" s="3" t="str">
        <f>HYPERLINK("https://www.boe.es/gazeta/dias/1817/05/15/pdfs/GMD-1817-58.pdf#page=4","Abrir facsímil")</f>
        <v>Abrir facsímil</v>
      </c>
      <c r="K3295" s="3" t="s">
        <v>23</v>
      </c>
    </row>
    <row r="3296" spans="1:11" ht="42" customHeight="1">
      <c r="A3296" s="2" t="s">
        <v>7893</v>
      </c>
      <c r="B3296" s="2" t="s">
        <v>7894</v>
      </c>
      <c r="C3296" s="2" t="s">
        <v>138</v>
      </c>
      <c r="D3296" s="2" t="s">
        <v>44</v>
      </c>
      <c r="E3296" s="5">
        <v>-30261</v>
      </c>
      <c r="F3296" s="3" t="s">
        <v>226</v>
      </c>
      <c r="G3296" s="3" t="s">
        <v>1699</v>
      </c>
      <c r="H3296" s="2" t="s">
        <v>21</v>
      </c>
      <c r="I3296" s="2" t="s">
        <v>7895</v>
      </c>
      <c r="J3296" s="3" t="str">
        <f>HYPERLINK("https://www.boe.es/gazeta/dias/1817/02/22/pdfs/GMD-1817-23.pdf#page=8","Abrir facsímil")</f>
        <v>Abrir facsímil</v>
      </c>
      <c r="K3296" s="3" t="s">
        <v>23</v>
      </c>
    </row>
    <row r="3297" spans="1:11" ht="42" customHeight="1">
      <c r="A3297" s="2" t="s">
        <v>7893</v>
      </c>
      <c r="B3297" s="2" t="s">
        <v>7894</v>
      </c>
      <c r="C3297" s="2" t="s">
        <v>17</v>
      </c>
      <c r="D3297" s="2" t="s">
        <v>18</v>
      </c>
      <c r="E3297" s="5">
        <v>-30170</v>
      </c>
      <c r="F3297" s="3" t="s">
        <v>98</v>
      </c>
      <c r="G3297" s="3" t="s">
        <v>77</v>
      </c>
      <c r="H3297" s="2" t="s">
        <v>21</v>
      </c>
      <c r="I3297" s="2" t="s">
        <v>7896</v>
      </c>
      <c r="J3297" s="3" t="str">
        <f>HYPERLINK("https://www.boe.es/gazeta/dias/1817/05/24/pdfs/GMD-1817-62.pdf#page=8","Abrir facsímil")</f>
        <v>Abrir facsímil</v>
      </c>
      <c r="K3297" s="3" t="s">
        <v>23</v>
      </c>
    </row>
    <row r="3298" spans="1:11" ht="42" customHeight="1">
      <c r="A3298" s="2" t="s">
        <v>7893</v>
      </c>
      <c r="B3298" s="2" t="s">
        <v>7894</v>
      </c>
      <c r="C3298" s="2" t="s">
        <v>17</v>
      </c>
      <c r="D3298" s="2" t="s">
        <v>18</v>
      </c>
      <c r="E3298" s="5">
        <v>-30139</v>
      </c>
      <c r="F3298" s="3" t="s">
        <v>993</v>
      </c>
      <c r="G3298" s="3" t="s">
        <v>77</v>
      </c>
      <c r="H3298" s="2" t="s">
        <v>21</v>
      </c>
      <c r="I3298" s="2" t="s">
        <v>7897</v>
      </c>
      <c r="J3298" s="3" t="str">
        <f>HYPERLINK("https://www.boe.es/gazeta/dias/1817/06/24/pdfs/GMD-1817-75.pdf#page=8","Abrir facsímil")</f>
        <v>Abrir facsímil</v>
      </c>
      <c r="K3298" s="3" t="s">
        <v>23</v>
      </c>
    </row>
    <row r="3299" spans="1:11" ht="42" customHeight="1">
      <c r="A3299" s="2" t="s">
        <v>7893</v>
      </c>
      <c r="B3299" s="2" t="s">
        <v>7894</v>
      </c>
      <c r="C3299" s="2" t="s">
        <v>17</v>
      </c>
      <c r="D3299" s="2" t="s">
        <v>18</v>
      </c>
      <c r="E3299" s="5">
        <v>-30062</v>
      </c>
      <c r="F3299" s="3" t="s">
        <v>444</v>
      </c>
      <c r="G3299" s="3" t="s">
        <v>82</v>
      </c>
      <c r="H3299" s="2" t="s">
        <v>21</v>
      </c>
      <c r="I3299" s="2" t="s">
        <v>7898</v>
      </c>
      <c r="J3299" s="3" t="str">
        <f>HYPERLINK("https://www.boe.es/gazeta/dias/1817/09/09/pdfs/GMD-1817-108.pdf#page=12","Abrir facsímil")</f>
        <v>Abrir facsímil</v>
      </c>
      <c r="K3299" s="3" t="s">
        <v>23</v>
      </c>
    </row>
    <row r="3300" spans="1:11" ht="42" customHeight="1">
      <c r="A3300" s="2" t="s">
        <v>7899</v>
      </c>
      <c r="B3300" s="2" t="s">
        <v>7900</v>
      </c>
      <c r="C3300" s="2" t="s">
        <v>36</v>
      </c>
      <c r="D3300" s="2" t="s">
        <v>37</v>
      </c>
      <c r="E3300" s="5">
        <v>-30200</v>
      </c>
      <c r="F3300" s="3" t="s">
        <v>725</v>
      </c>
      <c r="G3300" s="3" t="s">
        <v>20</v>
      </c>
      <c r="H3300" s="2" t="s">
        <v>21</v>
      </c>
      <c r="I3300" s="2" t="s">
        <v>7901</v>
      </c>
      <c r="J3300" s="3" t="str">
        <f>HYPERLINK("https://www.boe.es/gazeta/dias/1817/04/24/pdfs/GMD-1817-49.pdf#page=7","Abrir facsímil")</f>
        <v>Abrir facsímil</v>
      </c>
      <c r="K3300" s="3" t="s">
        <v>23</v>
      </c>
    </row>
    <row r="3301" spans="1:11" ht="42" customHeight="1">
      <c r="A3301" s="2" t="s">
        <v>7902</v>
      </c>
      <c r="B3301" s="2" t="s">
        <v>7903</v>
      </c>
      <c r="C3301" s="2" t="s">
        <v>43</v>
      </c>
      <c r="D3301" s="2" t="s">
        <v>44</v>
      </c>
      <c r="E3301" s="5">
        <v>-30065</v>
      </c>
      <c r="F3301" s="3" t="s">
        <v>201</v>
      </c>
      <c r="G3301" s="3" t="s">
        <v>20</v>
      </c>
      <c r="H3301" s="2" t="s">
        <v>21</v>
      </c>
      <c r="I3301" s="2" t="s">
        <v>7904</v>
      </c>
      <c r="J3301" s="3" t="str">
        <f>HYPERLINK("https://www.boe.es/gazeta/dias/1817/09/06/pdfs/GMD-1817-107.pdf#page=7","Abrir facsímil")</f>
        <v>Abrir facsímil</v>
      </c>
      <c r="K3301" s="3" t="s">
        <v>23</v>
      </c>
    </row>
    <row r="3302" spans="1:11" ht="42" customHeight="1">
      <c r="A3302" s="2" t="s">
        <v>7905</v>
      </c>
      <c r="B3302" s="2" t="s">
        <v>7906</v>
      </c>
      <c r="C3302" s="2" t="s">
        <v>97</v>
      </c>
      <c r="D3302" s="2" t="s">
        <v>44</v>
      </c>
      <c r="E3302" s="5">
        <v>-30235</v>
      </c>
      <c r="F3302" s="3" t="s">
        <v>398</v>
      </c>
      <c r="G3302" s="3" t="s">
        <v>77</v>
      </c>
      <c r="H3302" s="2" t="s">
        <v>21</v>
      </c>
      <c r="I3302" s="2" t="s">
        <v>7907</v>
      </c>
      <c r="J3302" s="3" t="str">
        <f>HYPERLINK("https://www.boe.es/gazeta/dias/1817/03/20/pdfs/GMD-1817-34.pdf#page=8","Abrir facsímil")</f>
        <v>Abrir facsímil</v>
      </c>
      <c r="K3302" s="3" t="s">
        <v>23</v>
      </c>
    </row>
    <row r="3303" spans="1:11" ht="42" customHeight="1">
      <c r="A3303" s="2" t="s">
        <v>7908</v>
      </c>
      <c r="B3303" s="2" t="s">
        <v>7909</v>
      </c>
      <c r="C3303" s="2" t="s">
        <v>43</v>
      </c>
      <c r="D3303" s="2" t="s">
        <v>44</v>
      </c>
      <c r="E3303" s="5">
        <v>-30046</v>
      </c>
      <c r="F3303" s="3" t="s">
        <v>214</v>
      </c>
      <c r="G3303" s="3" t="s">
        <v>275</v>
      </c>
      <c r="H3303" s="2" t="s">
        <v>21</v>
      </c>
      <c r="I3303" s="2" t="s">
        <v>7910</v>
      </c>
      <c r="J3303" s="3" t="str">
        <f>HYPERLINK("https://www.boe.es/gazeta/dias/1817/09/25/pdfs/GMD-1817-115.pdf#page=12","Abrir facsímil")</f>
        <v>Abrir facsímil</v>
      </c>
      <c r="K3303" s="3" t="s">
        <v>23</v>
      </c>
    </row>
    <row r="3304" spans="1:11" ht="42" customHeight="1">
      <c r="A3304" s="2" t="s">
        <v>7911</v>
      </c>
      <c r="B3304" s="2" t="s">
        <v>7912</v>
      </c>
      <c r="C3304" s="2" t="s">
        <v>43</v>
      </c>
      <c r="D3304" s="2" t="s">
        <v>44</v>
      </c>
      <c r="E3304" s="5">
        <v>-30195</v>
      </c>
      <c r="F3304" s="3" t="s">
        <v>1163</v>
      </c>
      <c r="G3304" s="3" t="s">
        <v>4945</v>
      </c>
      <c r="H3304" s="2" t="s">
        <v>21</v>
      </c>
      <c r="I3304" s="2" t="s">
        <v>7913</v>
      </c>
      <c r="J3304" s="3" t="str">
        <f>HYPERLINK("https://www.boe.es/gazeta/dias/1817/04/29/pdfs/GMD-1817-51.pdf#page=8","Abrir facsímil")</f>
        <v>Abrir facsímil</v>
      </c>
      <c r="K3304" s="3" t="s">
        <v>23</v>
      </c>
    </row>
    <row r="3305" spans="1:11" ht="42" customHeight="1">
      <c r="A3305" s="2" t="s">
        <v>7914</v>
      </c>
      <c r="B3305" s="2" t="s">
        <v>7914</v>
      </c>
      <c r="C3305" s="2" t="s">
        <v>97</v>
      </c>
      <c r="D3305" s="2" t="s">
        <v>44</v>
      </c>
      <c r="E3305" s="5">
        <v>-30055</v>
      </c>
      <c r="F3305" s="3" t="s">
        <v>71</v>
      </c>
      <c r="G3305" s="3" t="s">
        <v>82</v>
      </c>
      <c r="H3305" s="2" t="s">
        <v>21</v>
      </c>
      <c r="I3305" s="2" t="s">
        <v>7915</v>
      </c>
      <c r="J3305" s="3" t="str">
        <f>HYPERLINK("https://www.boe.es/gazeta/dias/1817/09/16/pdfs/GMD-1817-111.pdf#page=12","Abrir facsímil")</f>
        <v>Abrir facsímil</v>
      </c>
      <c r="K3305" s="3" t="s">
        <v>23</v>
      </c>
    </row>
    <row r="3306" spans="1:11" ht="42" customHeight="1">
      <c r="A3306" s="2" t="s">
        <v>7916</v>
      </c>
      <c r="B3306" s="2" t="s">
        <v>7917</v>
      </c>
      <c r="C3306" s="2" t="s">
        <v>17</v>
      </c>
      <c r="D3306" s="2" t="s">
        <v>18</v>
      </c>
      <c r="E3306" s="5">
        <v>-30261</v>
      </c>
      <c r="F3306" s="3" t="s">
        <v>226</v>
      </c>
      <c r="G3306" s="3" t="s">
        <v>20</v>
      </c>
      <c r="H3306" s="2" t="s">
        <v>21</v>
      </c>
      <c r="I3306" s="2" t="s">
        <v>7918</v>
      </c>
      <c r="J3306" s="3" t="str">
        <f>HYPERLINK("https://www.boe.es/gazeta/dias/1817/02/22/pdfs/GMD-1817-23.pdf#page=7","Abrir facsímil")</f>
        <v>Abrir facsímil</v>
      </c>
      <c r="K3306" s="3" t="s">
        <v>23</v>
      </c>
    </row>
    <row r="3307" spans="1:11" ht="42" customHeight="1">
      <c r="A3307" s="2" t="s">
        <v>7919</v>
      </c>
      <c r="B3307" s="2" t="s">
        <v>7919</v>
      </c>
      <c r="C3307" s="2" t="s">
        <v>36</v>
      </c>
      <c r="D3307" s="2" t="s">
        <v>37</v>
      </c>
      <c r="E3307" s="5">
        <v>-30300</v>
      </c>
      <c r="F3307" s="3" t="s">
        <v>164</v>
      </c>
      <c r="G3307" s="3" t="s">
        <v>39</v>
      </c>
      <c r="H3307" s="2" t="s">
        <v>21</v>
      </c>
      <c r="I3307" s="2" t="s">
        <v>7920</v>
      </c>
      <c r="J3307" s="3" t="str">
        <f>HYPERLINK("https://www.boe.es/gazeta/dias/1817/01/14/pdfs/GMD-1817-6.pdf#page=5","Abrir facsímil")</f>
        <v>Abrir facsímil</v>
      </c>
      <c r="K3307" s="3" t="s">
        <v>23</v>
      </c>
    </row>
    <row r="3308" spans="1:11" ht="42" customHeight="1">
      <c r="A3308" s="2" t="s">
        <v>7921</v>
      </c>
      <c r="B3308" s="2" t="s">
        <v>7922</v>
      </c>
      <c r="C3308" s="2" t="s">
        <v>43</v>
      </c>
      <c r="D3308" s="2" t="s">
        <v>44</v>
      </c>
      <c r="E3308" s="5">
        <v>-30300</v>
      </c>
      <c r="F3308" s="3" t="s">
        <v>164</v>
      </c>
      <c r="G3308" s="3" t="s">
        <v>39</v>
      </c>
      <c r="H3308" s="2" t="s">
        <v>21</v>
      </c>
      <c r="I3308" s="2" t="s">
        <v>7923</v>
      </c>
      <c r="J3308" s="3" t="str">
        <f>HYPERLINK("https://www.boe.es/gazeta/dias/1817/01/14/pdfs/GMD-1817-6.pdf#page=5","Abrir facsímil")</f>
        <v>Abrir facsímil</v>
      </c>
      <c r="K3308" s="3" t="s">
        <v>23</v>
      </c>
    </row>
    <row r="3309" spans="1:11" ht="42" customHeight="1">
      <c r="A3309" s="2" t="s">
        <v>7921</v>
      </c>
      <c r="B3309" s="2" t="s">
        <v>7922</v>
      </c>
      <c r="C3309" s="2" t="s">
        <v>43</v>
      </c>
      <c r="D3309" s="2" t="s">
        <v>44</v>
      </c>
      <c r="E3309" s="5">
        <v>-30300</v>
      </c>
      <c r="F3309" s="3" t="s">
        <v>164</v>
      </c>
      <c r="G3309" s="3" t="s">
        <v>57</v>
      </c>
      <c r="H3309" s="2" t="s">
        <v>21</v>
      </c>
      <c r="I3309" s="2" t="s">
        <v>7924</v>
      </c>
      <c r="J3309" s="3" t="str">
        <f>HYPERLINK("https://www.boe.es/gazeta/dias/1817/01/14/pdfs/GMD-1817-6.pdf#page=6","Abrir facsímil")</f>
        <v>Abrir facsímil</v>
      </c>
      <c r="K3309" s="3" t="s">
        <v>23</v>
      </c>
    </row>
    <row r="3310" spans="1:11" ht="42" customHeight="1">
      <c r="A3310" s="2" t="s">
        <v>7925</v>
      </c>
      <c r="B3310" s="2" t="s">
        <v>7925</v>
      </c>
      <c r="C3310" s="2" t="s">
        <v>36</v>
      </c>
      <c r="D3310" s="2" t="s">
        <v>37</v>
      </c>
      <c r="E3310" s="5">
        <v>-29964</v>
      </c>
      <c r="F3310" s="3" t="s">
        <v>482</v>
      </c>
      <c r="G3310" s="3" t="s">
        <v>57</v>
      </c>
      <c r="H3310" s="2" t="s">
        <v>21</v>
      </c>
      <c r="I3310" s="2" t="s">
        <v>7926</v>
      </c>
      <c r="J3310" s="3" t="str">
        <f>HYPERLINK("https://www.boe.es/gazeta/dias/1817/12/16/pdfs/GMD-1817-150.pdf#page=6","Abrir facsímil")</f>
        <v>Abrir facsímil</v>
      </c>
      <c r="K3310" s="3" t="s">
        <v>23</v>
      </c>
    </row>
    <row r="3311" spans="1:11" ht="42" customHeight="1">
      <c r="A3311" s="2" t="s">
        <v>7925</v>
      </c>
      <c r="B3311" s="2" t="s">
        <v>7925</v>
      </c>
      <c r="C3311" s="2" t="s">
        <v>36</v>
      </c>
      <c r="D3311" s="2" t="s">
        <v>37</v>
      </c>
      <c r="E3311" s="5">
        <v>-29964</v>
      </c>
      <c r="F3311" s="3" t="s">
        <v>482</v>
      </c>
      <c r="G3311" s="3" t="s">
        <v>20</v>
      </c>
      <c r="H3311" s="2" t="s">
        <v>21</v>
      </c>
      <c r="I3311" s="2" t="s">
        <v>7927</v>
      </c>
      <c r="J3311" s="3" t="str">
        <f>HYPERLINK("https://www.boe.es/gazeta/dias/1817/12/16/pdfs/GMD-1817-150.pdf#page=7","Abrir facsímil")</f>
        <v>Abrir facsímil</v>
      </c>
      <c r="K3311" s="3" t="s">
        <v>23</v>
      </c>
    </row>
    <row r="3312" spans="1:11" ht="42" customHeight="1">
      <c r="A3312" s="2" t="s">
        <v>7928</v>
      </c>
      <c r="B3312" s="2" t="s">
        <v>7929</v>
      </c>
      <c r="C3312" s="2" t="s">
        <v>36</v>
      </c>
      <c r="D3312" s="2" t="s">
        <v>37</v>
      </c>
      <c r="E3312" s="5">
        <v>-30065</v>
      </c>
      <c r="F3312" s="3" t="s">
        <v>201</v>
      </c>
      <c r="G3312" s="3" t="s">
        <v>4554</v>
      </c>
      <c r="H3312" s="2" t="s">
        <v>21</v>
      </c>
      <c r="I3312" s="2" t="s">
        <v>7930</v>
      </c>
      <c r="J3312" s="3" t="str">
        <f>HYPERLINK("https://www.boe.es/gazeta/dias/1817/09/06/pdfs/GMD-1817-107.pdf#page=5","Abrir facsímil")</f>
        <v>Abrir facsímil</v>
      </c>
      <c r="K3312" s="3" t="s">
        <v>23</v>
      </c>
    </row>
    <row r="3313" spans="1:11" ht="42" customHeight="1">
      <c r="A3313" s="2" t="s">
        <v>7931</v>
      </c>
      <c r="B3313" s="2" t="s">
        <v>7932</v>
      </c>
      <c r="C3313" s="2" t="s">
        <v>17</v>
      </c>
      <c r="D3313" s="2" t="s">
        <v>18</v>
      </c>
      <c r="E3313" s="5">
        <v>-30268</v>
      </c>
      <c r="F3313" s="3" t="s">
        <v>1160</v>
      </c>
      <c r="G3313" s="3" t="s">
        <v>77</v>
      </c>
      <c r="H3313" s="2" t="s">
        <v>21</v>
      </c>
      <c r="I3313" s="2" t="s">
        <v>7933</v>
      </c>
      <c r="J3313" s="3" t="str">
        <f>HYPERLINK("https://www.boe.es/gazeta/dias/1817/02/15/pdfs/GMD-1817-20.pdf#page=8","Abrir facsímil")</f>
        <v>Abrir facsímil</v>
      </c>
      <c r="K3313" s="3" t="s">
        <v>23</v>
      </c>
    </row>
    <row r="3314" spans="1:11" ht="42" customHeight="1">
      <c r="A3314" s="2" t="s">
        <v>7931</v>
      </c>
      <c r="B3314" s="2" t="s">
        <v>7932</v>
      </c>
      <c r="C3314" s="2" t="s">
        <v>17</v>
      </c>
      <c r="D3314" s="2" t="s">
        <v>18</v>
      </c>
      <c r="E3314" s="5">
        <v>-30048</v>
      </c>
      <c r="F3314" s="3" t="s">
        <v>573</v>
      </c>
      <c r="G3314" s="3" t="s">
        <v>20</v>
      </c>
      <c r="H3314" s="2" t="s">
        <v>21</v>
      </c>
      <c r="I3314" s="2" t="s">
        <v>7934</v>
      </c>
      <c r="J3314" s="3" t="str">
        <f>HYPERLINK("https://www.boe.es/gazeta/dias/1817/09/23/pdfs/GMD-1817-114.pdf#page=7","Abrir facsímil")</f>
        <v>Abrir facsímil</v>
      </c>
      <c r="K3314" s="3" t="s">
        <v>23</v>
      </c>
    </row>
    <row r="3315" spans="1:11" ht="42" customHeight="1">
      <c r="A3315" s="2" t="s">
        <v>7935</v>
      </c>
      <c r="B3315" s="2" t="s">
        <v>7936</v>
      </c>
      <c r="C3315" s="2" t="s">
        <v>36</v>
      </c>
      <c r="D3315" s="2" t="s">
        <v>37</v>
      </c>
      <c r="E3315" s="5">
        <v>-30109</v>
      </c>
      <c r="F3315" s="3" t="s">
        <v>205</v>
      </c>
      <c r="G3315" s="3" t="s">
        <v>6663</v>
      </c>
      <c r="H3315" s="2" t="s">
        <v>21</v>
      </c>
      <c r="I3315" s="2" t="s">
        <v>7937</v>
      </c>
      <c r="J3315" s="3" t="str">
        <f>HYPERLINK("https://www.boe.es/gazeta/dias/1817/07/24/pdfs/GMD-1817-88.pdf#page=14","Abrir facsímil")</f>
        <v>Abrir facsímil</v>
      </c>
      <c r="K3315" s="3" t="s">
        <v>23</v>
      </c>
    </row>
    <row r="3316" spans="1:11" ht="42" customHeight="1">
      <c r="A3316" s="2" t="s">
        <v>7938</v>
      </c>
      <c r="B3316" s="2" t="s">
        <v>7939</v>
      </c>
      <c r="C3316" s="2" t="s">
        <v>36</v>
      </c>
      <c r="D3316" s="2" t="s">
        <v>37</v>
      </c>
      <c r="E3316" s="5">
        <v>-30104</v>
      </c>
      <c r="F3316" s="3" t="s">
        <v>856</v>
      </c>
      <c r="G3316" s="3" t="s">
        <v>20</v>
      </c>
      <c r="H3316" s="2" t="s">
        <v>21</v>
      </c>
      <c r="I3316" s="2" t="s">
        <v>7940</v>
      </c>
      <c r="J3316" s="3" t="str">
        <f>HYPERLINK("https://www.boe.es/gazeta/dias/1817/07/29/pdfs/GMD-1817-90.pdf#page=7","Abrir facsímil")</f>
        <v>Abrir facsímil</v>
      </c>
      <c r="K3316" s="3" t="s">
        <v>23</v>
      </c>
    </row>
    <row r="3317" spans="1:11" ht="42" customHeight="1">
      <c r="A3317" s="2" t="s">
        <v>7941</v>
      </c>
      <c r="B3317" s="2" t="s">
        <v>7942</v>
      </c>
      <c r="C3317" s="2" t="s">
        <v>36</v>
      </c>
      <c r="D3317" s="2" t="s">
        <v>37</v>
      </c>
      <c r="E3317" s="5">
        <v>-30312</v>
      </c>
      <c r="F3317" s="3" t="s">
        <v>86</v>
      </c>
      <c r="G3317" s="3" t="s">
        <v>1684</v>
      </c>
      <c r="H3317" s="2" t="s">
        <v>21</v>
      </c>
      <c r="I3317" s="2" t="s">
        <v>7943</v>
      </c>
      <c r="J3317" s="3" t="str">
        <f>HYPERLINK("https://www.boe.es/gazeta/dias/1817/01/02/pdfs/GMD-1817-1.pdf#page=8","Abrir facsímil")</f>
        <v>Abrir facsímil</v>
      </c>
      <c r="K3317" s="3" t="s">
        <v>23</v>
      </c>
    </row>
    <row r="3318" spans="1:11" ht="42" customHeight="1">
      <c r="A3318" s="2" t="s">
        <v>7944</v>
      </c>
      <c r="B3318" s="2" t="s">
        <v>7945</v>
      </c>
      <c r="C3318" s="2" t="s">
        <v>49</v>
      </c>
      <c r="D3318" s="2" t="s">
        <v>44</v>
      </c>
      <c r="E3318" s="5">
        <v>-30128</v>
      </c>
      <c r="F3318" s="3" t="s">
        <v>761</v>
      </c>
      <c r="G3318" s="3" t="s">
        <v>144</v>
      </c>
      <c r="H3318" s="2" t="s">
        <v>27</v>
      </c>
      <c r="I3318" s="2" t="s">
        <v>7946</v>
      </c>
      <c r="J3318" s="3" t="str">
        <f>HYPERLINK("https://www.boe.es/gazeta/dias/1817/07/05/pdfs/GMD-1817-80.pdf#page=4","Abrir facsímil")</f>
        <v>Abrir facsímil</v>
      </c>
      <c r="K3318" s="3" t="s">
        <v>29</v>
      </c>
    </row>
    <row r="3319" spans="1:11" ht="42" customHeight="1">
      <c r="A3319" s="2" t="s">
        <v>7947</v>
      </c>
      <c r="B3319" s="2" t="s">
        <v>7948</v>
      </c>
      <c r="C3319" s="2" t="s">
        <v>55</v>
      </c>
      <c r="D3319" s="2" t="s">
        <v>44</v>
      </c>
      <c r="E3319" s="5">
        <v>-30025</v>
      </c>
      <c r="F3319" s="3" t="s">
        <v>458</v>
      </c>
      <c r="G3319" s="3" t="s">
        <v>77</v>
      </c>
      <c r="H3319" s="2" t="s">
        <v>27</v>
      </c>
      <c r="I3319" s="2" t="s">
        <v>7949</v>
      </c>
      <c r="J3319" s="3" t="str">
        <f>HYPERLINK("https://www.boe.es/gazeta/dias/1817/10/16/pdfs/GMD-1817-124.pdf#page=8","Abrir facsímil")</f>
        <v>Abrir facsímil</v>
      </c>
      <c r="K3319" s="3" t="s">
        <v>29</v>
      </c>
    </row>
    <row r="3320" spans="1:11" ht="42" customHeight="1">
      <c r="A3320" s="2" t="s">
        <v>7947</v>
      </c>
      <c r="B3320" s="2" t="s">
        <v>7948</v>
      </c>
      <c r="C3320" s="2" t="s">
        <v>55</v>
      </c>
      <c r="D3320" s="2" t="s">
        <v>44</v>
      </c>
      <c r="E3320" s="5">
        <v>-30013</v>
      </c>
      <c r="F3320" s="3" t="s">
        <v>464</v>
      </c>
      <c r="G3320" s="3" t="s">
        <v>77</v>
      </c>
      <c r="H3320" s="2" t="s">
        <v>27</v>
      </c>
      <c r="I3320" s="2" t="s">
        <v>7950</v>
      </c>
      <c r="J3320" s="3" t="str">
        <f>HYPERLINK("https://www.boe.es/gazeta/dias/1817/10/28/pdfs/GMD-1817-129.pdf#page=8","Abrir facsímil")</f>
        <v>Abrir facsímil</v>
      </c>
      <c r="K3320" s="3" t="s">
        <v>29</v>
      </c>
    </row>
    <row r="3321" spans="1:11" ht="42" customHeight="1">
      <c r="A3321" s="2" t="s">
        <v>7951</v>
      </c>
      <c r="B3321" s="2" t="s">
        <v>7952</v>
      </c>
      <c r="C3321" s="2" t="s">
        <v>17</v>
      </c>
      <c r="D3321" s="2" t="s">
        <v>18</v>
      </c>
      <c r="E3321" s="5">
        <v>-30277</v>
      </c>
      <c r="F3321" s="3" t="s">
        <v>3822</v>
      </c>
      <c r="G3321" s="3" t="s">
        <v>77</v>
      </c>
      <c r="H3321" s="2" t="s">
        <v>21</v>
      </c>
      <c r="I3321" s="2" t="s">
        <v>7953</v>
      </c>
      <c r="J3321" s="3" t="str">
        <f>HYPERLINK("https://www.boe.es/gazeta/dias/1817/02/06/pdfs/GMD-1817-16.pdf#page=8","Abrir facsímil")</f>
        <v>Abrir facsímil</v>
      </c>
      <c r="K3321" s="3" t="s">
        <v>23</v>
      </c>
    </row>
    <row r="3322" spans="1:11" ht="42" customHeight="1">
      <c r="A3322" s="2" t="s">
        <v>7951</v>
      </c>
      <c r="B3322" s="2" t="s">
        <v>7952</v>
      </c>
      <c r="C3322" s="2" t="s">
        <v>36</v>
      </c>
      <c r="D3322" s="2" t="s">
        <v>37</v>
      </c>
      <c r="E3322" s="5">
        <v>-30165</v>
      </c>
      <c r="F3322" s="3" t="s">
        <v>2040</v>
      </c>
      <c r="G3322" s="3" t="s">
        <v>77</v>
      </c>
      <c r="H3322" s="2" t="s">
        <v>21</v>
      </c>
      <c r="I3322" s="2" t="s">
        <v>7954</v>
      </c>
      <c r="J3322" s="3" t="str">
        <f>HYPERLINK("https://www.boe.es/gazeta/dias/1817/05/29/pdfs/GMD-1817-64.pdf#page=8","Abrir facsímil")</f>
        <v>Abrir facsímil</v>
      </c>
      <c r="K3322" s="3" t="s">
        <v>23</v>
      </c>
    </row>
    <row r="3323" spans="1:11" ht="42" customHeight="1">
      <c r="A3323" s="2" t="s">
        <v>7951</v>
      </c>
      <c r="B3323" s="2" t="s">
        <v>7952</v>
      </c>
      <c r="C3323" s="2" t="s">
        <v>36</v>
      </c>
      <c r="D3323" s="2" t="s">
        <v>37</v>
      </c>
      <c r="E3323" s="5">
        <v>-30090</v>
      </c>
      <c r="F3323" s="3" t="s">
        <v>89</v>
      </c>
      <c r="G3323" s="3" t="s">
        <v>20</v>
      </c>
      <c r="H3323" s="2" t="s">
        <v>21</v>
      </c>
      <c r="I3323" s="2" t="s">
        <v>7955</v>
      </c>
      <c r="J3323" s="3" t="str">
        <f>HYPERLINK("https://www.boe.es/gazeta/dias/1817/08/12/pdfs/GMD-1817-96.pdf#page=7","Abrir facsímil")</f>
        <v>Abrir facsímil</v>
      </c>
      <c r="K3323" s="3" t="s">
        <v>23</v>
      </c>
    </row>
    <row r="3324" spans="1:11" ht="42" customHeight="1">
      <c r="A3324" s="2" t="s">
        <v>7951</v>
      </c>
      <c r="B3324" s="2" t="s">
        <v>7952</v>
      </c>
      <c r="C3324" s="2" t="s">
        <v>36</v>
      </c>
      <c r="D3324" s="2" t="s">
        <v>37</v>
      </c>
      <c r="E3324" s="5">
        <v>-30065</v>
      </c>
      <c r="F3324" s="3" t="s">
        <v>201</v>
      </c>
      <c r="G3324" s="3" t="s">
        <v>77</v>
      </c>
      <c r="H3324" s="2" t="s">
        <v>21</v>
      </c>
      <c r="I3324" s="2" t="s">
        <v>7956</v>
      </c>
      <c r="J3324" s="3" t="str">
        <f>HYPERLINK("https://www.boe.es/gazeta/dias/1817/09/06/pdfs/GMD-1817-107.pdf#page=8","Abrir facsímil")</f>
        <v>Abrir facsímil</v>
      </c>
      <c r="K3324" s="3" t="s">
        <v>23</v>
      </c>
    </row>
    <row r="3325" spans="1:11" ht="42" customHeight="1">
      <c r="A3325" s="2" t="s">
        <v>7951</v>
      </c>
      <c r="B3325" s="2" t="s">
        <v>7952</v>
      </c>
      <c r="C3325" s="2" t="s">
        <v>36</v>
      </c>
      <c r="D3325" s="2" t="s">
        <v>37</v>
      </c>
      <c r="E3325" s="5">
        <v>-30046</v>
      </c>
      <c r="F3325" s="3" t="s">
        <v>214</v>
      </c>
      <c r="G3325" s="3" t="s">
        <v>275</v>
      </c>
      <c r="H3325" s="2" t="s">
        <v>21</v>
      </c>
      <c r="I3325" s="2" t="s">
        <v>7957</v>
      </c>
      <c r="J3325" s="3" t="str">
        <f>HYPERLINK("https://www.boe.es/gazeta/dias/1817/09/25/pdfs/GMD-1817-115.pdf#page=12","Abrir facsímil")</f>
        <v>Abrir facsímil</v>
      </c>
      <c r="K3325" s="3" t="s">
        <v>23</v>
      </c>
    </row>
    <row r="3326" spans="1:11" ht="42" customHeight="1">
      <c r="A3326" s="2" t="s">
        <v>7951</v>
      </c>
      <c r="B3326" s="2" t="s">
        <v>7952</v>
      </c>
      <c r="C3326" s="2" t="s">
        <v>17</v>
      </c>
      <c r="D3326" s="2" t="s">
        <v>18</v>
      </c>
      <c r="E3326" s="5">
        <v>-30037</v>
      </c>
      <c r="F3326" s="3" t="s">
        <v>453</v>
      </c>
      <c r="G3326" s="3" t="s">
        <v>77</v>
      </c>
      <c r="H3326" s="2" t="s">
        <v>21</v>
      </c>
      <c r="I3326" s="2" t="s">
        <v>7958</v>
      </c>
      <c r="J3326" s="3" t="str">
        <f>HYPERLINK("https://www.boe.es/gazeta/dias/1817/10/04/pdfs/GMD-1817-119.pdf#page=8","Abrir facsímil")</f>
        <v>Abrir facsímil</v>
      </c>
      <c r="K3326" s="3" t="s">
        <v>23</v>
      </c>
    </row>
    <row r="3327" spans="1:11" ht="42" customHeight="1">
      <c r="A3327" s="2" t="s">
        <v>7951</v>
      </c>
      <c r="B3327" s="2" t="s">
        <v>7952</v>
      </c>
      <c r="C3327" s="2" t="s">
        <v>36</v>
      </c>
      <c r="D3327" s="2" t="s">
        <v>37</v>
      </c>
      <c r="E3327" s="5">
        <v>-30013</v>
      </c>
      <c r="F3327" s="3" t="s">
        <v>464</v>
      </c>
      <c r="G3327" s="3" t="s">
        <v>77</v>
      </c>
      <c r="H3327" s="2" t="s">
        <v>21</v>
      </c>
      <c r="I3327" s="2" t="s">
        <v>7959</v>
      </c>
      <c r="J3327" s="3" t="str">
        <f>HYPERLINK("https://www.boe.es/gazeta/dias/1817/10/28/pdfs/GMD-1817-129.pdf#page=8","Abrir facsímil")</f>
        <v>Abrir facsímil</v>
      </c>
      <c r="K3327" s="3" t="s">
        <v>23</v>
      </c>
    </row>
    <row r="3328" spans="1:11" ht="42" customHeight="1">
      <c r="A3328" s="2" t="s">
        <v>7960</v>
      </c>
      <c r="B3328" s="2" t="s">
        <v>7961</v>
      </c>
      <c r="C3328" s="2" t="s">
        <v>36</v>
      </c>
      <c r="D3328" s="2" t="s">
        <v>37</v>
      </c>
      <c r="E3328" s="5">
        <v>-30065</v>
      </c>
      <c r="F3328" s="3" t="s">
        <v>201</v>
      </c>
      <c r="G3328" s="3" t="s">
        <v>20</v>
      </c>
      <c r="H3328" s="2" t="s">
        <v>21</v>
      </c>
      <c r="I3328" s="2" t="s">
        <v>7962</v>
      </c>
      <c r="J3328" s="3" t="str">
        <f>HYPERLINK("https://www.boe.es/gazeta/dias/1817/09/06/pdfs/GMD-1817-107.pdf#page=7","Abrir facsímil")</f>
        <v>Abrir facsímil</v>
      </c>
      <c r="K3328" s="3" t="s">
        <v>23</v>
      </c>
    </row>
    <row r="3329" spans="1:11" ht="42" customHeight="1">
      <c r="A3329" s="2" t="s">
        <v>7963</v>
      </c>
      <c r="B3329" s="2" t="s">
        <v>7963</v>
      </c>
      <c r="C3329" s="2" t="s">
        <v>43</v>
      </c>
      <c r="D3329" s="2" t="s">
        <v>44</v>
      </c>
      <c r="E3329" s="5">
        <v>-30034</v>
      </c>
      <c r="F3329" s="3" t="s">
        <v>270</v>
      </c>
      <c r="G3329" s="3" t="s">
        <v>1727</v>
      </c>
      <c r="H3329" s="2" t="s">
        <v>21</v>
      </c>
      <c r="I3329" s="2" t="s">
        <v>7964</v>
      </c>
      <c r="J3329" s="3" t="str">
        <f>HYPERLINK("https://www.boe.es/gazeta/dias/1817/10/07/pdfs/GMD-1817-120.pdf#page=2","Abrir facsímil")</f>
        <v>Abrir facsímil</v>
      </c>
      <c r="K3329" s="3" t="s">
        <v>23</v>
      </c>
    </row>
    <row r="3330" spans="1:11" ht="42" customHeight="1">
      <c r="A3330" s="2" t="s">
        <v>7965</v>
      </c>
      <c r="B3330" s="2" t="s">
        <v>7965</v>
      </c>
      <c r="C3330" s="2" t="s">
        <v>36</v>
      </c>
      <c r="D3330" s="2" t="s">
        <v>37</v>
      </c>
      <c r="E3330" s="5">
        <v>-30051</v>
      </c>
      <c r="F3330" s="3" t="s">
        <v>26</v>
      </c>
      <c r="G3330" s="3" t="s">
        <v>20</v>
      </c>
      <c r="H3330" s="2" t="s">
        <v>21</v>
      </c>
      <c r="I3330" s="2" t="s">
        <v>7966</v>
      </c>
      <c r="J3330" s="3" t="str">
        <f>HYPERLINK("https://www.boe.es/gazeta/dias/1817/09/20/pdfs/GMD-1817-113.pdf#page=7","Abrir facsímil")</f>
        <v>Abrir facsímil</v>
      </c>
      <c r="K3330" s="3" t="s">
        <v>23</v>
      </c>
    </row>
    <row r="3331" spans="1:11" ht="42" customHeight="1">
      <c r="A3331" s="2" t="s">
        <v>7967</v>
      </c>
      <c r="B3331" s="2" t="s">
        <v>7968</v>
      </c>
      <c r="C3331" s="2" t="s">
        <v>36</v>
      </c>
      <c r="D3331" s="2" t="s">
        <v>37</v>
      </c>
      <c r="E3331" s="5">
        <v>-30188</v>
      </c>
      <c r="F3331" s="3" t="s">
        <v>177</v>
      </c>
      <c r="G3331" s="3" t="s">
        <v>144</v>
      </c>
      <c r="H3331" s="2" t="s">
        <v>21</v>
      </c>
      <c r="I3331" s="2" t="s">
        <v>7969</v>
      </c>
      <c r="J3331" s="3" t="str">
        <f>HYPERLINK("https://www.boe.es/gazeta/dias/1817/05/06/pdfs/GMD-1817-54.pdf#page=4","Abrir facsímil")</f>
        <v>Abrir facsímil</v>
      </c>
      <c r="K3331" s="3" t="s">
        <v>23</v>
      </c>
    </row>
    <row r="3332" spans="1:11" ht="42" customHeight="1">
      <c r="A3332" s="2" t="s">
        <v>7970</v>
      </c>
      <c r="B3332" s="2" t="s">
        <v>7971</v>
      </c>
      <c r="C3332" s="2" t="s">
        <v>55</v>
      </c>
      <c r="D3332" s="2" t="s">
        <v>44</v>
      </c>
      <c r="E3332" s="5">
        <v>-30254</v>
      </c>
      <c r="F3332" s="3" t="s">
        <v>124</v>
      </c>
      <c r="G3332" s="3" t="s">
        <v>125</v>
      </c>
      <c r="H3332" s="2" t="s">
        <v>21</v>
      </c>
      <c r="I3332" s="2" t="s">
        <v>7972</v>
      </c>
      <c r="J3332" s="3" t="str">
        <f>HYPERLINK("https://www.boe.es/gazeta/dias/1817/03/01/pdfs/GMD-1817-26.pdf#page=5","Abrir facsímil")</f>
        <v>Abrir facsímil</v>
      </c>
      <c r="K3332" s="3" t="s">
        <v>23</v>
      </c>
    </row>
    <row r="3333" spans="1:11" ht="42" customHeight="1">
      <c r="A3333" s="2" t="s">
        <v>7973</v>
      </c>
      <c r="B3333" s="2" t="s">
        <v>7974</v>
      </c>
      <c r="C3333" s="2" t="s">
        <v>17</v>
      </c>
      <c r="D3333" s="2" t="s">
        <v>18</v>
      </c>
      <c r="E3333" s="5">
        <v>-30165</v>
      </c>
      <c r="F3333" s="3" t="s">
        <v>2040</v>
      </c>
      <c r="G3333" s="3" t="s">
        <v>77</v>
      </c>
      <c r="H3333" s="2" t="s">
        <v>21</v>
      </c>
      <c r="I3333" s="2" t="s">
        <v>7975</v>
      </c>
      <c r="J3333" s="3" t="str">
        <f>HYPERLINK("https://www.boe.es/gazeta/dias/1817/05/29/pdfs/GMD-1817-64.pdf#page=8","Abrir facsímil")</f>
        <v>Abrir facsímil</v>
      </c>
      <c r="K3333" s="3" t="s">
        <v>23</v>
      </c>
    </row>
    <row r="3334" spans="1:11" ht="42" customHeight="1">
      <c r="A3334" s="2" t="s">
        <v>7976</v>
      </c>
      <c r="B3334" s="2" t="s">
        <v>7977</v>
      </c>
      <c r="C3334" s="2" t="s">
        <v>55</v>
      </c>
      <c r="D3334" s="2" t="s">
        <v>44</v>
      </c>
      <c r="E3334" s="5">
        <v>-29953</v>
      </c>
      <c r="F3334" s="3" t="s">
        <v>793</v>
      </c>
      <c r="G3334" s="3" t="s">
        <v>794</v>
      </c>
      <c r="H3334" s="2" t="s">
        <v>21</v>
      </c>
      <c r="I3334" s="2" t="s">
        <v>7978</v>
      </c>
      <c r="J3334" s="3" t="str">
        <f>HYPERLINK("https://www.boe.es/gazeta/dias/1817/12/27/pdfs/GMD-1817-155.pdf#page=8","Abrir facsímil")</f>
        <v>Abrir facsímil</v>
      </c>
      <c r="K3334" s="3" t="s">
        <v>23</v>
      </c>
    </row>
    <row r="3335" spans="1:11" ht="42" customHeight="1">
      <c r="A3335" s="2" t="s">
        <v>7979</v>
      </c>
      <c r="B3335" s="2" t="s">
        <v>7980</v>
      </c>
      <c r="C3335" s="2" t="s">
        <v>43</v>
      </c>
      <c r="D3335" s="2" t="s">
        <v>44</v>
      </c>
      <c r="E3335" s="5">
        <v>-29985</v>
      </c>
      <c r="F3335" s="3" t="s">
        <v>76</v>
      </c>
      <c r="G3335" s="3" t="s">
        <v>112</v>
      </c>
      <c r="H3335" s="2" t="s">
        <v>21</v>
      </c>
      <c r="I3335" s="2" t="s">
        <v>7981</v>
      </c>
      <c r="J3335" s="3" t="str">
        <f>HYPERLINK("https://www.boe.es/gazeta/dias/1817/11/25/pdfs/GMD-1817-141.pdf#page=11","Abrir facsímil")</f>
        <v>Abrir facsímil</v>
      </c>
      <c r="K3335" s="3" t="s">
        <v>23</v>
      </c>
    </row>
    <row r="3336" spans="1:11" ht="42" customHeight="1">
      <c r="A3336" s="2" t="s">
        <v>7982</v>
      </c>
      <c r="B3336" s="2" t="s">
        <v>7983</v>
      </c>
      <c r="C3336" s="2" t="s">
        <v>17</v>
      </c>
      <c r="D3336" s="2" t="s">
        <v>18</v>
      </c>
      <c r="E3336" s="5">
        <v>-30179</v>
      </c>
      <c r="F3336" s="3" t="s">
        <v>391</v>
      </c>
      <c r="G3336" s="3" t="s">
        <v>20</v>
      </c>
      <c r="H3336" s="2" t="s">
        <v>21</v>
      </c>
      <c r="I3336" s="2" t="s">
        <v>7984</v>
      </c>
      <c r="J3336" s="3" t="str">
        <f>HYPERLINK("https://www.boe.es/gazeta/dias/1817/05/15/pdfs/GMD-1817-58.pdf#page=7","Abrir facsímil")</f>
        <v>Abrir facsímil</v>
      </c>
      <c r="K3336" s="3" t="s">
        <v>23</v>
      </c>
    </row>
    <row r="3337" spans="1:11" ht="42" customHeight="1">
      <c r="A3337" s="2" t="s">
        <v>7985</v>
      </c>
      <c r="B3337" s="2" t="s">
        <v>7986</v>
      </c>
      <c r="C3337" s="2" t="s">
        <v>17</v>
      </c>
      <c r="D3337" s="2" t="s">
        <v>18</v>
      </c>
      <c r="E3337" s="5">
        <v>-30065</v>
      </c>
      <c r="F3337" s="3" t="s">
        <v>201</v>
      </c>
      <c r="G3337" s="3" t="s">
        <v>20</v>
      </c>
      <c r="H3337" s="2" t="s">
        <v>21</v>
      </c>
      <c r="I3337" s="2" t="s">
        <v>7987</v>
      </c>
      <c r="J3337" s="3" t="str">
        <f>HYPERLINK("https://www.boe.es/gazeta/dias/1817/09/06/pdfs/GMD-1817-107.pdf#page=7","Abrir facsímil")</f>
        <v>Abrir facsímil</v>
      </c>
      <c r="K3337" s="3" t="s">
        <v>23</v>
      </c>
    </row>
    <row r="3338" spans="1:11" ht="42" customHeight="1">
      <c r="A3338" s="2" t="s">
        <v>7988</v>
      </c>
      <c r="B3338" s="2" t="s">
        <v>7989</v>
      </c>
      <c r="C3338" s="2" t="s">
        <v>17</v>
      </c>
      <c r="D3338" s="2" t="s">
        <v>18</v>
      </c>
      <c r="E3338" s="5">
        <v>-30303</v>
      </c>
      <c r="F3338" s="3" t="s">
        <v>407</v>
      </c>
      <c r="G3338" s="3" t="s">
        <v>39</v>
      </c>
      <c r="H3338" s="2" t="s">
        <v>21</v>
      </c>
      <c r="I3338" s="2" t="s">
        <v>7990</v>
      </c>
      <c r="J3338" s="3" t="str">
        <f>HYPERLINK("https://www.boe.es/gazeta/dias/1817/01/11/pdfs/GMD-1817-5.pdf#page=5","Abrir facsímil")</f>
        <v>Abrir facsímil</v>
      </c>
      <c r="K3338" s="3" t="s">
        <v>23</v>
      </c>
    </row>
    <row r="3339" spans="1:11" ht="42" customHeight="1">
      <c r="A3339" s="2" t="s">
        <v>7991</v>
      </c>
      <c r="B3339" s="2" t="s">
        <v>7992</v>
      </c>
      <c r="C3339" s="2" t="s">
        <v>36</v>
      </c>
      <c r="D3339" s="2" t="s">
        <v>37</v>
      </c>
      <c r="E3339" s="5">
        <v>-30200</v>
      </c>
      <c r="F3339" s="3" t="s">
        <v>725</v>
      </c>
      <c r="G3339" s="3" t="s">
        <v>57</v>
      </c>
      <c r="H3339" s="2" t="s">
        <v>21</v>
      </c>
      <c r="I3339" s="2" t="s">
        <v>7993</v>
      </c>
      <c r="J3339" s="3" t="str">
        <f>HYPERLINK("https://www.boe.es/gazeta/dias/1817/04/24/pdfs/GMD-1817-49.pdf#page=6","Abrir facsímil")</f>
        <v>Abrir facsímil</v>
      </c>
      <c r="K3339" s="3" t="s">
        <v>23</v>
      </c>
    </row>
    <row r="3340" spans="1:11" ht="42" customHeight="1">
      <c r="A3340" s="2" t="s">
        <v>7994</v>
      </c>
      <c r="B3340" s="2" t="s">
        <v>7995</v>
      </c>
      <c r="C3340" s="2" t="s">
        <v>43</v>
      </c>
      <c r="D3340" s="2" t="s">
        <v>44</v>
      </c>
      <c r="E3340" s="5">
        <v>-30013</v>
      </c>
      <c r="F3340" s="3" t="s">
        <v>464</v>
      </c>
      <c r="G3340" s="3" t="s">
        <v>39</v>
      </c>
      <c r="H3340" s="2" t="s">
        <v>21</v>
      </c>
      <c r="I3340" s="2" t="s">
        <v>7996</v>
      </c>
      <c r="J3340" s="3" t="str">
        <f>HYPERLINK("https://www.boe.es/gazeta/dias/1817/10/28/pdfs/GMD-1817-129.pdf#page=5","Abrir facsímil")</f>
        <v>Abrir facsímil</v>
      </c>
      <c r="K3340" s="3" t="s">
        <v>23</v>
      </c>
    </row>
    <row r="3341" spans="1:11" ht="42" customHeight="1">
      <c r="A3341" s="2" t="s">
        <v>7991</v>
      </c>
      <c r="B3341" s="2" t="s">
        <v>7992</v>
      </c>
      <c r="C3341" s="2" t="s">
        <v>36</v>
      </c>
      <c r="D3341" s="2" t="s">
        <v>37</v>
      </c>
      <c r="E3341" s="5">
        <v>-29953</v>
      </c>
      <c r="F3341" s="3" t="s">
        <v>793</v>
      </c>
      <c r="G3341" s="3" t="s">
        <v>794</v>
      </c>
      <c r="H3341" s="2" t="s">
        <v>21</v>
      </c>
      <c r="I3341" s="2" t="s">
        <v>7997</v>
      </c>
      <c r="J3341" s="3" t="str">
        <f>HYPERLINK("https://www.boe.es/gazeta/dias/1817/12/27/pdfs/GMD-1817-155.pdf#page=8","Abrir facsímil")</f>
        <v>Abrir facsímil</v>
      </c>
      <c r="K3341" s="3" t="s">
        <v>23</v>
      </c>
    </row>
    <row r="3342" spans="1:11" ht="42" customHeight="1">
      <c r="A3342" s="2" t="s">
        <v>7998</v>
      </c>
      <c r="B3342" s="2" t="s">
        <v>7999</v>
      </c>
      <c r="C3342" s="2" t="s">
        <v>55</v>
      </c>
      <c r="D3342" s="2" t="s">
        <v>44</v>
      </c>
      <c r="E3342" s="5">
        <v>-30307</v>
      </c>
      <c r="F3342" s="3" t="s">
        <v>67</v>
      </c>
      <c r="G3342" s="3" t="s">
        <v>39</v>
      </c>
      <c r="H3342" s="2" t="s">
        <v>21</v>
      </c>
      <c r="I3342" s="2" t="s">
        <v>8000</v>
      </c>
      <c r="J3342" s="3" t="str">
        <f>HYPERLINK("https://www.boe.es/gazeta/dias/1817/01/07/pdfs/GMD-1817-3.pdf#page=5","Abrir facsímil")</f>
        <v>Abrir facsímil</v>
      </c>
      <c r="K3342" s="3" t="s">
        <v>23</v>
      </c>
    </row>
    <row r="3343" spans="1:11" ht="42" customHeight="1">
      <c r="A3343" s="2" t="s">
        <v>7998</v>
      </c>
      <c r="B3343" s="2" t="s">
        <v>7999</v>
      </c>
      <c r="C3343" s="2" t="s">
        <v>17</v>
      </c>
      <c r="D3343" s="2" t="s">
        <v>18</v>
      </c>
      <c r="E3343" s="5">
        <v>-30179</v>
      </c>
      <c r="F3343" s="3" t="s">
        <v>391</v>
      </c>
      <c r="G3343" s="3" t="s">
        <v>20</v>
      </c>
      <c r="H3343" s="2" t="s">
        <v>21</v>
      </c>
      <c r="I3343" s="2" t="s">
        <v>8001</v>
      </c>
      <c r="J3343" s="3" t="str">
        <f>HYPERLINK("https://www.boe.es/gazeta/dias/1817/05/15/pdfs/GMD-1817-58.pdf#page=7","Abrir facsímil")</f>
        <v>Abrir facsímil</v>
      </c>
      <c r="K3343" s="3" t="s">
        <v>23</v>
      </c>
    </row>
    <row r="3344" spans="1:11" ht="42" customHeight="1">
      <c r="A3344" s="2" t="s">
        <v>7998</v>
      </c>
      <c r="B3344" s="2" t="s">
        <v>7999</v>
      </c>
      <c r="C3344" s="2" t="s">
        <v>55</v>
      </c>
      <c r="D3344" s="2" t="s">
        <v>44</v>
      </c>
      <c r="E3344" s="5">
        <v>-29953</v>
      </c>
      <c r="F3344" s="3" t="s">
        <v>793</v>
      </c>
      <c r="G3344" s="3" t="s">
        <v>39</v>
      </c>
      <c r="H3344" s="2" t="s">
        <v>21</v>
      </c>
      <c r="I3344" s="2" t="s">
        <v>8002</v>
      </c>
      <c r="J3344" s="3" t="str">
        <f>HYPERLINK("https://www.boe.es/gazeta/dias/1817/12/27/pdfs/GMD-1817-155.pdf#page=5","Abrir facsímil")</f>
        <v>Abrir facsímil</v>
      </c>
      <c r="K3344" s="3" t="s">
        <v>23</v>
      </c>
    </row>
    <row r="3345" spans="1:11" ht="42" customHeight="1">
      <c r="A3345" s="2" t="s">
        <v>8003</v>
      </c>
      <c r="B3345" s="2" t="s">
        <v>8004</v>
      </c>
      <c r="C3345" s="2" t="s">
        <v>36</v>
      </c>
      <c r="D3345" s="2" t="s">
        <v>37</v>
      </c>
      <c r="E3345" s="5">
        <v>-30249</v>
      </c>
      <c r="F3345" s="3" t="s">
        <v>120</v>
      </c>
      <c r="G3345" s="3" t="s">
        <v>20</v>
      </c>
      <c r="H3345" s="2" t="s">
        <v>21</v>
      </c>
      <c r="I3345" s="2" t="s">
        <v>8005</v>
      </c>
      <c r="J3345" s="3" t="str">
        <f>HYPERLINK("https://www.boe.es/gazeta/dias/1817/03/06/pdfs/GMD-1817-28.pdf#page=7","Abrir facsímil")</f>
        <v>Abrir facsímil</v>
      </c>
      <c r="K3345" s="3" t="s">
        <v>23</v>
      </c>
    </row>
    <row r="3346" spans="1:11" ht="42" customHeight="1">
      <c r="A3346" s="2" t="s">
        <v>8006</v>
      </c>
      <c r="B3346" s="2" t="s">
        <v>8007</v>
      </c>
      <c r="C3346" s="2" t="s">
        <v>43</v>
      </c>
      <c r="D3346" s="2" t="s">
        <v>44</v>
      </c>
      <c r="E3346" s="5">
        <v>-30079</v>
      </c>
      <c r="F3346" s="3" t="s">
        <v>45</v>
      </c>
      <c r="G3346" s="3" t="s">
        <v>39</v>
      </c>
      <c r="H3346" s="2" t="s">
        <v>21</v>
      </c>
      <c r="I3346" s="2" t="s">
        <v>8008</v>
      </c>
      <c r="J3346" s="3" t="str">
        <f>HYPERLINK("https://www.boe.es/gazeta/dias/1817/08/23/pdfs/GMD-1817-101.pdf#page=5","Abrir facsímil")</f>
        <v>Abrir facsímil</v>
      </c>
      <c r="K3346" s="3" t="s">
        <v>23</v>
      </c>
    </row>
    <row r="3347" spans="1:11" ht="42" customHeight="1">
      <c r="A3347" s="2" t="s">
        <v>8009</v>
      </c>
      <c r="B3347" s="2" t="s">
        <v>8010</v>
      </c>
      <c r="C3347" s="2" t="s">
        <v>43</v>
      </c>
      <c r="D3347" s="2" t="s">
        <v>44</v>
      </c>
      <c r="E3347" s="5">
        <v>-30079</v>
      </c>
      <c r="F3347" s="3" t="s">
        <v>45</v>
      </c>
      <c r="G3347" s="3" t="s">
        <v>39</v>
      </c>
      <c r="H3347" s="2" t="s">
        <v>21</v>
      </c>
      <c r="I3347" s="2" t="s">
        <v>8011</v>
      </c>
      <c r="J3347" s="3" t="str">
        <f>HYPERLINK("https://www.boe.es/gazeta/dias/1817/08/23/pdfs/GMD-1817-101.pdf#page=5","Abrir facsímil")</f>
        <v>Abrir facsímil</v>
      </c>
      <c r="K3347" s="3" t="s">
        <v>23</v>
      </c>
    </row>
    <row r="3348" spans="1:11" ht="42" customHeight="1">
      <c r="A3348" s="2" t="s">
        <v>8012</v>
      </c>
      <c r="B3348" s="2" t="s">
        <v>8013</v>
      </c>
      <c r="C3348" s="2" t="s">
        <v>36</v>
      </c>
      <c r="D3348" s="2" t="s">
        <v>37</v>
      </c>
      <c r="E3348" s="5">
        <v>-30237</v>
      </c>
      <c r="F3348" s="3" t="s">
        <v>56</v>
      </c>
      <c r="G3348" s="3" t="s">
        <v>20</v>
      </c>
      <c r="H3348" s="2" t="s">
        <v>21</v>
      </c>
      <c r="I3348" s="2" t="s">
        <v>8014</v>
      </c>
      <c r="J3348" s="3" t="str">
        <f>HYPERLINK("https://www.boe.es/gazeta/dias/1817/03/18/pdfs/GMD-1817-33.pdf#page=7","Abrir facsímil")</f>
        <v>Abrir facsímil</v>
      </c>
      <c r="K3348" s="3" t="s">
        <v>23</v>
      </c>
    </row>
    <row r="3349" spans="1:11" ht="42" customHeight="1">
      <c r="A3349" s="2" t="s">
        <v>8015</v>
      </c>
      <c r="B3349" s="2" t="s">
        <v>8016</v>
      </c>
      <c r="C3349" s="2" t="s">
        <v>55</v>
      </c>
      <c r="D3349" s="2" t="s">
        <v>44</v>
      </c>
      <c r="E3349" s="5">
        <v>-30205</v>
      </c>
      <c r="F3349" s="3" t="s">
        <v>139</v>
      </c>
      <c r="G3349" s="3" t="s">
        <v>77</v>
      </c>
      <c r="H3349" s="2" t="s">
        <v>21</v>
      </c>
      <c r="I3349" s="2" t="s">
        <v>8017</v>
      </c>
      <c r="J3349" s="3" t="str">
        <f>HYPERLINK("https://www.boe.es/gazeta/dias/1817/04/19/pdfs/GMD-1817-47.pdf#page=8","Abrir facsímil")</f>
        <v>Abrir facsímil</v>
      </c>
      <c r="K3349" s="3" t="s">
        <v>23</v>
      </c>
    </row>
    <row r="3350" spans="1:11" ht="42" customHeight="1">
      <c r="A3350" s="2" t="s">
        <v>8018</v>
      </c>
      <c r="B3350" s="2" t="s">
        <v>8019</v>
      </c>
      <c r="C3350" s="2" t="s">
        <v>36</v>
      </c>
      <c r="D3350" s="2" t="s">
        <v>37</v>
      </c>
      <c r="E3350" s="5">
        <v>-29981</v>
      </c>
      <c r="F3350" s="3" t="s">
        <v>111</v>
      </c>
      <c r="G3350" s="3" t="s">
        <v>39</v>
      </c>
      <c r="H3350" s="2" t="s">
        <v>21</v>
      </c>
      <c r="I3350" s="2" t="s">
        <v>8020</v>
      </c>
      <c r="J3350" s="3" t="str">
        <f>HYPERLINK("https://www.boe.es/gazeta/dias/1817/11/29/pdfs/GMD-1817-143.pdf#page=5","Abrir facsímil")</f>
        <v>Abrir facsímil</v>
      </c>
      <c r="K3350" s="3" t="s">
        <v>23</v>
      </c>
    </row>
    <row r="3351" spans="1:11" ht="42" customHeight="1">
      <c r="A3351" s="2" t="s">
        <v>8018</v>
      </c>
      <c r="B3351" s="2" t="s">
        <v>8019</v>
      </c>
      <c r="C3351" s="2" t="s">
        <v>36</v>
      </c>
      <c r="D3351" s="2" t="s">
        <v>37</v>
      </c>
      <c r="E3351" s="5">
        <v>-29981</v>
      </c>
      <c r="F3351" s="3" t="s">
        <v>111</v>
      </c>
      <c r="G3351" s="3" t="s">
        <v>57</v>
      </c>
      <c r="H3351" s="2" t="s">
        <v>21</v>
      </c>
      <c r="I3351" s="2" t="s">
        <v>8021</v>
      </c>
      <c r="J3351" s="3" t="str">
        <f>HYPERLINK("https://www.boe.es/gazeta/dias/1817/11/29/pdfs/GMD-1817-143.pdf#page=6","Abrir facsímil")</f>
        <v>Abrir facsímil</v>
      </c>
      <c r="K3351" s="3" t="s">
        <v>23</v>
      </c>
    </row>
    <row r="3352" spans="1:11" ht="42" customHeight="1">
      <c r="A3352" s="2" t="s">
        <v>8022</v>
      </c>
      <c r="B3352" s="2" t="s">
        <v>8023</v>
      </c>
      <c r="C3352" s="2" t="s">
        <v>43</v>
      </c>
      <c r="D3352" s="2" t="s">
        <v>44</v>
      </c>
      <c r="E3352" s="5">
        <v>-30013</v>
      </c>
      <c r="F3352" s="3" t="s">
        <v>464</v>
      </c>
      <c r="G3352" s="3" t="s">
        <v>39</v>
      </c>
      <c r="H3352" s="2" t="s">
        <v>21</v>
      </c>
      <c r="I3352" s="2" t="s">
        <v>8024</v>
      </c>
      <c r="J3352" s="3" t="str">
        <f>HYPERLINK("https://www.boe.es/gazeta/dias/1817/10/28/pdfs/GMD-1817-129.pdf#page=5","Abrir facsímil")</f>
        <v>Abrir facsímil</v>
      </c>
      <c r="K3352" s="3" t="s">
        <v>23</v>
      </c>
    </row>
    <row r="3353" spans="1:11" ht="42" customHeight="1">
      <c r="A3353" s="2" t="s">
        <v>8025</v>
      </c>
      <c r="B3353" s="2" t="s">
        <v>8026</v>
      </c>
      <c r="C3353" s="2" t="s">
        <v>36</v>
      </c>
      <c r="D3353" s="2" t="s">
        <v>37</v>
      </c>
      <c r="E3353" s="5">
        <v>-29969</v>
      </c>
      <c r="F3353" s="3" t="s">
        <v>252</v>
      </c>
      <c r="G3353" s="3" t="s">
        <v>887</v>
      </c>
      <c r="H3353" s="2" t="s">
        <v>21</v>
      </c>
      <c r="I3353" s="2" t="s">
        <v>8027</v>
      </c>
      <c r="J3353" s="3" t="str">
        <f>HYPERLINK("https://www.boe.es/gazeta/dias/1817/12/11/pdfs/GMD-1817-148.pdf#page=9","Abrir facsímil")</f>
        <v>Abrir facsímil</v>
      </c>
      <c r="K3353" s="3" t="s">
        <v>23</v>
      </c>
    </row>
    <row r="3354" spans="1:11" ht="42" customHeight="1">
      <c r="A3354" s="2" t="s">
        <v>8028</v>
      </c>
      <c r="B3354" s="2" t="s">
        <v>8029</v>
      </c>
      <c r="C3354" s="2" t="s">
        <v>49</v>
      </c>
      <c r="D3354" s="2" t="s">
        <v>44</v>
      </c>
      <c r="E3354" s="5">
        <v>-29992</v>
      </c>
      <c r="F3354" s="3" t="s">
        <v>50</v>
      </c>
      <c r="G3354" s="3" t="s">
        <v>51</v>
      </c>
      <c r="H3354" s="2" t="s">
        <v>21</v>
      </c>
      <c r="I3354" s="2" t="s">
        <v>8030</v>
      </c>
      <c r="J3354" s="3" t="str">
        <f>HYPERLINK("https://www.boe.es/gazeta/dias/1817/11/18/pdfs/GMD-1817-138.pdf#page=8","Abrir facsímil")</f>
        <v>Abrir facsímil</v>
      </c>
      <c r="K3354" s="3" t="s">
        <v>23</v>
      </c>
    </row>
    <row r="3355" spans="1:11" ht="42" customHeight="1">
      <c r="A3355" s="2" t="s">
        <v>8031</v>
      </c>
      <c r="B3355" s="2" t="s">
        <v>8031</v>
      </c>
      <c r="C3355" s="2" t="s">
        <v>36</v>
      </c>
      <c r="D3355" s="2" t="s">
        <v>37</v>
      </c>
      <c r="E3355" s="5">
        <v>-29971</v>
      </c>
      <c r="F3355" s="3" t="s">
        <v>517</v>
      </c>
      <c r="G3355" s="3" t="s">
        <v>82</v>
      </c>
      <c r="H3355" s="2" t="s">
        <v>21</v>
      </c>
      <c r="I3355" s="2" t="s">
        <v>8032</v>
      </c>
      <c r="J3355" s="3" t="str">
        <f>HYPERLINK("https://www.boe.es/gazeta/dias/1817/12/09/pdfs/GMD-1817-147.pdf#page=12","Abrir facsímil")</f>
        <v>Abrir facsímil</v>
      </c>
      <c r="K3355" s="3" t="s">
        <v>23</v>
      </c>
    </row>
    <row r="3356" spans="1:11" ht="42" customHeight="1">
      <c r="A3356" s="2" t="s">
        <v>8033</v>
      </c>
      <c r="B3356" s="2" t="s">
        <v>8034</v>
      </c>
      <c r="C3356" s="2" t="s">
        <v>36</v>
      </c>
      <c r="D3356" s="2" t="s">
        <v>37</v>
      </c>
      <c r="E3356" s="5">
        <v>-30144</v>
      </c>
      <c r="F3356" s="3" t="s">
        <v>846</v>
      </c>
      <c r="G3356" s="3" t="s">
        <v>39</v>
      </c>
      <c r="H3356" s="2" t="s">
        <v>21</v>
      </c>
      <c r="I3356" s="2" t="s">
        <v>8035</v>
      </c>
      <c r="J3356" s="3" t="str">
        <f>HYPERLINK("https://www.boe.es/gazeta/dias/1817/06/19/pdfs/GMD-1817-73.pdf#page=5","Abrir facsímil")</f>
        <v>Abrir facsímil</v>
      </c>
      <c r="K3356" s="3" t="s">
        <v>23</v>
      </c>
    </row>
    <row r="3357" spans="1:11" ht="42" customHeight="1">
      <c r="A3357" s="2" t="s">
        <v>8036</v>
      </c>
      <c r="B3357" s="2" t="s">
        <v>8037</v>
      </c>
      <c r="C3357" s="2" t="s">
        <v>36</v>
      </c>
      <c r="D3357" s="2" t="s">
        <v>37</v>
      </c>
      <c r="E3357" s="5">
        <v>-30149</v>
      </c>
      <c r="F3357" s="3" t="s">
        <v>430</v>
      </c>
      <c r="G3357" s="3" t="s">
        <v>57</v>
      </c>
      <c r="H3357" s="2" t="s">
        <v>21</v>
      </c>
      <c r="I3357" s="2" t="s">
        <v>8038</v>
      </c>
      <c r="J3357" s="3" t="str">
        <f>HYPERLINK("https://www.boe.es/gazeta/dias/1817/06/14/pdfs/GMD-1817-71.pdf#page=6","Abrir facsímil")</f>
        <v>Abrir facsímil</v>
      </c>
      <c r="K3357" s="3" t="s">
        <v>23</v>
      </c>
    </row>
    <row r="3358" spans="1:11" ht="42" customHeight="1">
      <c r="A3358" s="2" t="s">
        <v>8039</v>
      </c>
      <c r="B3358" s="2" t="s">
        <v>8039</v>
      </c>
      <c r="C3358" s="2" t="s">
        <v>36</v>
      </c>
      <c r="D3358" s="2" t="s">
        <v>37</v>
      </c>
      <c r="E3358" s="5">
        <v>-29967</v>
      </c>
      <c r="F3358" s="3" t="s">
        <v>183</v>
      </c>
      <c r="G3358" s="3" t="s">
        <v>57</v>
      </c>
      <c r="H3358" s="2" t="s">
        <v>21</v>
      </c>
      <c r="I3358" s="2" t="s">
        <v>8040</v>
      </c>
      <c r="J3358" s="3" t="str">
        <f>HYPERLINK("https://www.boe.es/gazeta/dias/1817/12/13/pdfs/GMD-1817-149.pdf#page=6","Abrir facsímil")</f>
        <v>Abrir facsímil</v>
      </c>
      <c r="K3358" s="3" t="s">
        <v>23</v>
      </c>
    </row>
    <row r="3359" spans="1:11" ht="42" customHeight="1">
      <c r="A3359" s="2" t="s">
        <v>8041</v>
      </c>
      <c r="B3359" s="2" t="s">
        <v>8041</v>
      </c>
      <c r="C3359" s="2" t="s">
        <v>36</v>
      </c>
      <c r="D3359" s="2" t="s">
        <v>37</v>
      </c>
      <c r="E3359" s="5">
        <v>-30051</v>
      </c>
      <c r="F3359" s="3" t="s">
        <v>26</v>
      </c>
      <c r="G3359" s="3" t="s">
        <v>77</v>
      </c>
      <c r="H3359" s="2" t="s">
        <v>21</v>
      </c>
      <c r="I3359" s="2" t="s">
        <v>8042</v>
      </c>
      <c r="J3359" s="3" t="str">
        <f>HYPERLINK("https://www.boe.es/gazeta/dias/1817/09/20/pdfs/GMD-1817-113.pdf#page=8","Abrir facsímil")</f>
        <v>Abrir facsímil</v>
      </c>
      <c r="K3359" s="3" t="s">
        <v>23</v>
      </c>
    </row>
    <row r="3360" spans="1:11" ht="42" customHeight="1">
      <c r="A3360" s="2" t="s">
        <v>8041</v>
      </c>
      <c r="B3360" s="2" t="s">
        <v>8041</v>
      </c>
      <c r="C3360" s="2" t="s">
        <v>36</v>
      </c>
      <c r="D3360" s="2" t="s">
        <v>37</v>
      </c>
      <c r="E3360" s="5">
        <v>-29981</v>
      </c>
      <c r="F3360" s="3" t="s">
        <v>111</v>
      </c>
      <c r="G3360" s="3" t="s">
        <v>57</v>
      </c>
      <c r="H3360" s="2" t="s">
        <v>21</v>
      </c>
      <c r="I3360" s="2" t="s">
        <v>8043</v>
      </c>
      <c r="J3360" s="3" t="str">
        <f>HYPERLINK("https://www.boe.es/gazeta/dias/1817/11/29/pdfs/GMD-1817-143.pdf#page=6","Abrir facsímil")</f>
        <v>Abrir facsímil</v>
      </c>
      <c r="K3360" s="3" t="s">
        <v>23</v>
      </c>
    </row>
    <row r="3361" spans="1:11" ht="42" customHeight="1">
      <c r="A3361" s="2" t="s">
        <v>8044</v>
      </c>
      <c r="B3361" s="2" t="s">
        <v>8045</v>
      </c>
      <c r="C3361" s="2" t="s">
        <v>55</v>
      </c>
      <c r="D3361" s="2" t="s">
        <v>44</v>
      </c>
      <c r="E3361" s="5">
        <v>-29992</v>
      </c>
      <c r="F3361" s="3" t="s">
        <v>50</v>
      </c>
      <c r="G3361" s="3" t="s">
        <v>51</v>
      </c>
      <c r="H3361" s="2" t="s">
        <v>21</v>
      </c>
      <c r="I3361" s="2" t="s">
        <v>8046</v>
      </c>
      <c r="J3361" s="3" t="str">
        <f>HYPERLINK("https://www.boe.es/gazeta/dias/1817/11/18/pdfs/GMD-1817-138.pdf#page=8","Abrir facsímil")</f>
        <v>Abrir facsímil</v>
      </c>
      <c r="K3361" s="3" t="s">
        <v>23</v>
      </c>
    </row>
    <row r="3362" spans="1:11" ht="42" customHeight="1">
      <c r="A3362" s="2" t="s">
        <v>8047</v>
      </c>
      <c r="B3362" s="2" t="s">
        <v>8048</v>
      </c>
      <c r="C3362" s="2" t="s">
        <v>43</v>
      </c>
      <c r="D3362" s="2" t="s">
        <v>44</v>
      </c>
      <c r="E3362" s="5">
        <v>-29988</v>
      </c>
      <c r="F3362" s="3" t="s">
        <v>569</v>
      </c>
      <c r="G3362" s="3" t="s">
        <v>57</v>
      </c>
      <c r="H3362" s="2" t="s">
        <v>21</v>
      </c>
      <c r="I3362" s="2" t="s">
        <v>8049</v>
      </c>
      <c r="J3362" s="3" t="str">
        <f>HYPERLINK("https://www.boe.es/gazeta/dias/1817/11/22/pdfs/GMD-1817-140.pdf#page=6","Abrir facsímil")</f>
        <v>Abrir facsímil</v>
      </c>
      <c r="K3362" s="3" t="s">
        <v>23</v>
      </c>
    </row>
    <row r="3363" spans="1:11" ht="42" customHeight="1">
      <c r="A3363" s="2" t="s">
        <v>8050</v>
      </c>
      <c r="B3363" s="2" t="s">
        <v>8051</v>
      </c>
      <c r="C3363" s="2" t="s">
        <v>49</v>
      </c>
      <c r="D3363" s="2" t="s">
        <v>44</v>
      </c>
      <c r="E3363" s="5">
        <v>-30179</v>
      </c>
      <c r="F3363" s="3" t="s">
        <v>391</v>
      </c>
      <c r="G3363" s="3" t="s">
        <v>20</v>
      </c>
      <c r="H3363" s="2" t="s">
        <v>21</v>
      </c>
      <c r="I3363" s="2" t="s">
        <v>8052</v>
      </c>
      <c r="J3363" s="3" t="str">
        <f>HYPERLINK("https://www.boe.es/gazeta/dias/1817/05/15/pdfs/GMD-1817-58.pdf#page=7","Abrir facsímil")</f>
        <v>Abrir facsímil</v>
      </c>
      <c r="K3363" s="3" t="s">
        <v>23</v>
      </c>
    </row>
    <row r="3364" spans="1:11" ht="42" customHeight="1">
      <c r="A3364" s="2" t="s">
        <v>8053</v>
      </c>
      <c r="B3364" s="2" t="s">
        <v>8054</v>
      </c>
      <c r="C3364" s="2" t="s">
        <v>43</v>
      </c>
      <c r="D3364" s="2" t="s">
        <v>44</v>
      </c>
      <c r="E3364" s="5">
        <v>-30200</v>
      </c>
      <c r="F3364" s="3" t="s">
        <v>725</v>
      </c>
      <c r="G3364" s="3" t="s">
        <v>57</v>
      </c>
      <c r="H3364" s="2" t="s">
        <v>21</v>
      </c>
      <c r="I3364" s="2" t="s">
        <v>8055</v>
      </c>
      <c r="J3364" s="3" t="str">
        <f>HYPERLINK("https://www.boe.es/gazeta/dias/1817/04/24/pdfs/GMD-1817-49.pdf#page=6","Abrir facsímil")</f>
        <v>Abrir facsímil</v>
      </c>
      <c r="K3364" s="3" t="s">
        <v>23</v>
      </c>
    </row>
    <row r="3365" spans="1:11" ht="42" customHeight="1">
      <c r="A3365" s="2" t="s">
        <v>8056</v>
      </c>
      <c r="B3365" s="2" t="s">
        <v>8057</v>
      </c>
      <c r="C3365" s="2" t="s">
        <v>36</v>
      </c>
      <c r="D3365" s="2" t="s">
        <v>37</v>
      </c>
      <c r="E3365" s="5">
        <v>-30307</v>
      </c>
      <c r="F3365" s="3" t="s">
        <v>67</v>
      </c>
      <c r="G3365" s="3" t="s">
        <v>68</v>
      </c>
      <c r="H3365" s="2" t="s">
        <v>27</v>
      </c>
      <c r="I3365" s="2" t="s">
        <v>8058</v>
      </c>
      <c r="J3365" s="3" t="str">
        <f>HYPERLINK("https://www.boe.es/gazeta/dias/1817/01/07/pdfs/GMD-1817-3.pdf#page=8","Abrir facsímil")</f>
        <v>Abrir facsímil</v>
      </c>
      <c r="K3365" s="3" t="s">
        <v>29</v>
      </c>
    </row>
    <row r="3366" spans="1:11" ht="42" customHeight="1">
      <c r="A3366" s="2" t="s">
        <v>8059</v>
      </c>
      <c r="B3366" s="2" t="s">
        <v>8060</v>
      </c>
      <c r="C3366" s="2" t="s">
        <v>55</v>
      </c>
      <c r="D3366" s="2" t="s">
        <v>44</v>
      </c>
      <c r="E3366" s="5">
        <v>-30254</v>
      </c>
      <c r="F3366" s="3" t="s">
        <v>124</v>
      </c>
      <c r="G3366" s="3" t="s">
        <v>125</v>
      </c>
      <c r="H3366" s="2" t="s">
        <v>21</v>
      </c>
      <c r="I3366" s="2" t="s">
        <v>8061</v>
      </c>
      <c r="J3366" s="3" t="str">
        <f>HYPERLINK("https://www.boe.es/gazeta/dias/1817/03/01/pdfs/GMD-1817-26.pdf#page=5","Abrir facsímil")</f>
        <v>Abrir facsímil</v>
      </c>
      <c r="K3366" s="3" t="s">
        <v>23</v>
      </c>
    </row>
    <row r="3367" spans="1:11" ht="42" customHeight="1">
      <c r="A3367" s="2" t="s">
        <v>8062</v>
      </c>
      <c r="B3367" s="2" t="s">
        <v>8063</v>
      </c>
      <c r="C3367" s="2" t="s">
        <v>36</v>
      </c>
      <c r="D3367" s="2" t="s">
        <v>37</v>
      </c>
      <c r="E3367" s="5">
        <v>-30307</v>
      </c>
      <c r="F3367" s="3" t="s">
        <v>67</v>
      </c>
      <c r="G3367" s="3" t="s">
        <v>68</v>
      </c>
      <c r="H3367" s="2" t="s">
        <v>27</v>
      </c>
      <c r="I3367" s="2" t="s">
        <v>8064</v>
      </c>
      <c r="J3367" s="3" t="str">
        <f>HYPERLINK("https://www.boe.es/gazeta/dias/1817/01/07/pdfs/GMD-1817-3.pdf#page=8","Abrir facsímil")</f>
        <v>Abrir facsímil</v>
      </c>
      <c r="K3367" s="3" t="s">
        <v>29</v>
      </c>
    </row>
    <row r="3368" spans="1:11" ht="42" customHeight="1">
      <c r="A3368" s="2" t="s">
        <v>8065</v>
      </c>
      <c r="B3368" s="2" t="s">
        <v>8066</v>
      </c>
      <c r="C3368" s="2" t="s">
        <v>36</v>
      </c>
      <c r="D3368" s="2" t="s">
        <v>37</v>
      </c>
      <c r="E3368" s="5">
        <v>-30307</v>
      </c>
      <c r="F3368" s="3" t="s">
        <v>67</v>
      </c>
      <c r="G3368" s="3" t="s">
        <v>68</v>
      </c>
      <c r="H3368" s="2" t="s">
        <v>27</v>
      </c>
      <c r="I3368" s="2" t="s">
        <v>8067</v>
      </c>
      <c r="J3368" s="3" t="str">
        <f>HYPERLINK("https://www.boe.es/gazeta/dias/1817/01/07/pdfs/GMD-1817-3.pdf#page=8","Abrir facsímil")</f>
        <v>Abrir facsímil</v>
      </c>
      <c r="K3368" s="3" t="s">
        <v>29</v>
      </c>
    </row>
    <row r="3369" spans="1:11" ht="42" customHeight="1">
      <c r="A3369" s="2" t="s">
        <v>8068</v>
      </c>
      <c r="B3369" s="2" t="s">
        <v>8069</v>
      </c>
      <c r="C3369" s="2" t="s">
        <v>36</v>
      </c>
      <c r="D3369" s="2" t="s">
        <v>37</v>
      </c>
      <c r="E3369" s="5">
        <v>-30065</v>
      </c>
      <c r="F3369" s="3" t="s">
        <v>201</v>
      </c>
      <c r="G3369" s="3" t="s">
        <v>20</v>
      </c>
      <c r="H3369" s="2" t="s">
        <v>21</v>
      </c>
      <c r="I3369" s="2" t="s">
        <v>8070</v>
      </c>
      <c r="J3369" s="3" t="str">
        <f>HYPERLINK("https://www.boe.es/gazeta/dias/1817/09/06/pdfs/GMD-1817-107.pdf#page=7","Abrir facsímil")</f>
        <v>Abrir facsímil</v>
      </c>
      <c r="K3369" s="3" t="s">
        <v>23</v>
      </c>
    </row>
    <row r="3370" spans="1:11" ht="42" customHeight="1">
      <c r="A3370" s="2" t="s">
        <v>8071</v>
      </c>
      <c r="B3370" s="2" t="s">
        <v>8072</v>
      </c>
      <c r="C3370" s="2" t="s">
        <v>55</v>
      </c>
      <c r="D3370" s="2" t="s">
        <v>44</v>
      </c>
      <c r="E3370" s="5">
        <v>-30188</v>
      </c>
      <c r="F3370" s="3" t="s">
        <v>177</v>
      </c>
      <c r="G3370" s="3" t="s">
        <v>77</v>
      </c>
      <c r="H3370" s="2" t="s">
        <v>21</v>
      </c>
      <c r="I3370" s="2" t="s">
        <v>8073</v>
      </c>
      <c r="J3370" s="3" t="str">
        <f>HYPERLINK("https://www.boe.es/gazeta/dias/1817/05/06/pdfs/GMD-1817-54.pdf#page=8","Abrir facsímil")</f>
        <v>Abrir facsímil</v>
      </c>
      <c r="K3370" s="3" t="s">
        <v>23</v>
      </c>
    </row>
    <row r="3371" spans="1:11" ht="42" customHeight="1">
      <c r="A3371" s="2" t="s">
        <v>8074</v>
      </c>
      <c r="B3371" s="2" t="s">
        <v>8075</v>
      </c>
      <c r="C3371" s="2" t="s">
        <v>55</v>
      </c>
      <c r="D3371" s="2" t="s">
        <v>44</v>
      </c>
      <c r="E3371" s="5">
        <v>-30282</v>
      </c>
      <c r="F3371" s="3" t="s">
        <v>1049</v>
      </c>
      <c r="G3371" s="3" t="s">
        <v>551</v>
      </c>
      <c r="H3371" s="2" t="s">
        <v>21</v>
      </c>
      <c r="I3371" s="2" t="s">
        <v>8076</v>
      </c>
      <c r="J3371" s="3" t="str">
        <f>HYPERLINK("https://www.boe.es/gazeta/dias/1817/02/01/pdfs/GMD-1817-14.pdf#page=3","Abrir facsímil")</f>
        <v>Abrir facsímil</v>
      </c>
      <c r="K3371" s="3" t="s">
        <v>23</v>
      </c>
    </row>
    <row r="3372" spans="1:11" ht="42" customHeight="1">
      <c r="A3372" s="2" t="s">
        <v>8077</v>
      </c>
      <c r="B3372" s="2" t="s">
        <v>8078</v>
      </c>
      <c r="C3372" s="2" t="s">
        <v>43</v>
      </c>
      <c r="D3372" s="2" t="s">
        <v>44</v>
      </c>
      <c r="E3372" s="5">
        <v>-30286</v>
      </c>
      <c r="F3372" s="3" t="s">
        <v>354</v>
      </c>
      <c r="G3372" s="3" t="s">
        <v>1580</v>
      </c>
      <c r="H3372" s="2" t="s">
        <v>27</v>
      </c>
      <c r="I3372" s="2" t="s">
        <v>8079</v>
      </c>
      <c r="J3372" s="3" t="str">
        <f>HYPERLINK("https://www.boe.es/gazeta/dias/1817/01/28/pdfs/GMD-1817-12.pdf#page=5","Abrir facsímil")</f>
        <v>Abrir facsímil</v>
      </c>
      <c r="K3372" s="3" t="s">
        <v>29</v>
      </c>
    </row>
    <row r="3373" spans="1:11" ht="42" customHeight="1">
      <c r="A3373" s="2" t="s">
        <v>8080</v>
      </c>
      <c r="B3373" s="2" t="s">
        <v>8081</v>
      </c>
      <c r="C3373" s="2" t="s">
        <v>36</v>
      </c>
      <c r="D3373" s="2" t="s">
        <v>37</v>
      </c>
      <c r="E3373" s="5">
        <v>-30004</v>
      </c>
      <c r="F3373" s="3" t="s">
        <v>329</v>
      </c>
      <c r="G3373" s="3" t="s">
        <v>39</v>
      </c>
      <c r="H3373" s="2" t="s">
        <v>21</v>
      </c>
      <c r="I3373" s="2" t="s">
        <v>8082</v>
      </c>
      <c r="J3373" s="3" t="str">
        <f>HYPERLINK("https://www.boe.es/gazeta/dias/1817/11/06/pdfs/GMD-1817-133.pdf#page=5","Abrir facsímil")</f>
        <v>Abrir facsímil</v>
      </c>
      <c r="K3373" s="3" t="s">
        <v>23</v>
      </c>
    </row>
    <row r="3374" spans="1:11" ht="42" customHeight="1">
      <c r="A3374" s="2" t="s">
        <v>8083</v>
      </c>
      <c r="B3374" s="2" t="s">
        <v>8084</v>
      </c>
      <c r="C3374" s="2" t="s">
        <v>36</v>
      </c>
      <c r="D3374" s="2" t="s">
        <v>37</v>
      </c>
      <c r="E3374" s="5">
        <v>-29978</v>
      </c>
      <c r="F3374" s="3" t="s">
        <v>478</v>
      </c>
      <c r="G3374" s="3" t="s">
        <v>20</v>
      </c>
      <c r="H3374" s="2" t="s">
        <v>21</v>
      </c>
      <c r="I3374" s="2" t="s">
        <v>8085</v>
      </c>
      <c r="J3374" s="3" t="str">
        <f>HYPERLINK("https://www.boe.es/gazeta/dias/1817/12/02/pdfs/GMD-1817-144.pdf#page=7","Abrir facsímil")</f>
        <v>Abrir facsímil</v>
      </c>
      <c r="K3374" s="3" t="s">
        <v>23</v>
      </c>
    </row>
    <row r="3375" spans="1:11" ht="42" customHeight="1">
      <c r="A3375" s="2" t="s">
        <v>8086</v>
      </c>
      <c r="B3375" s="2" t="s">
        <v>8086</v>
      </c>
      <c r="C3375" s="2" t="s">
        <v>43</v>
      </c>
      <c r="D3375" s="2" t="s">
        <v>44</v>
      </c>
      <c r="E3375" s="5">
        <v>-30053</v>
      </c>
      <c r="F3375" s="3" t="s">
        <v>129</v>
      </c>
      <c r="G3375" s="3" t="s">
        <v>7320</v>
      </c>
      <c r="H3375" s="2" t="s">
        <v>21</v>
      </c>
      <c r="I3375" s="2" t="s">
        <v>8087</v>
      </c>
      <c r="J3375" s="3" t="str">
        <f>HYPERLINK("https://www.boe.es/gazeta/dias/1817/09/18/pdfs/GMD-1817-112.pdf#page=2","Abrir facsímil")</f>
        <v>Abrir facsímil</v>
      </c>
      <c r="K3375" s="3" t="s">
        <v>23</v>
      </c>
    </row>
    <row r="3376" spans="1:11" ht="42" customHeight="1">
      <c r="A3376" s="2" t="s">
        <v>8086</v>
      </c>
      <c r="B3376" s="2" t="s">
        <v>8086</v>
      </c>
      <c r="C3376" s="2" t="s">
        <v>43</v>
      </c>
      <c r="D3376" s="2" t="s">
        <v>44</v>
      </c>
      <c r="E3376" s="5">
        <v>-30053</v>
      </c>
      <c r="F3376" s="3" t="s">
        <v>129</v>
      </c>
      <c r="G3376" s="3" t="s">
        <v>72</v>
      </c>
      <c r="H3376" s="2" t="s">
        <v>21</v>
      </c>
      <c r="I3376" s="2" t="s">
        <v>8088</v>
      </c>
      <c r="J3376" s="3" t="str">
        <f>HYPERLINK("https://www.boe.es/gazeta/dias/1817/09/18/pdfs/GMD-1817-112.pdf#page=1","Abrir facsímil")</f>
        <v>Abrir facsímil</v>
      </c>
      <c r="K3376" s="3" t="s">
        <v>23</v>
      </c>
    </row>
    <row r="3377" spans="1:11" ht="42" customHeight="1">
      <c r="A3377" s="2" t="s">
        <v>8089</v>
      </c>
      <c r="B3377" s="2" t="s">
        <v>8090</v>
      </c>
      <c r="C3377" s="2" t="s">
        <v>43</v>
      </c>
      <c r="D3377" s="2" t="s">
        <v>44</v>
      </c>
      <c r="E3377" s="5">
        <v>-30053</v>
      </c>
      <c r="F3377" s="3" t="s">
        <v>129</v>
      </c>
      <c r="G3377" s="3" t="s">
        <v>72</v>
      </c>
      <c r="H3377" s="2" t="s">
        <v>21</v>
      </c>
      <c r="I3377" s="2" t="s">
        <v>8091</v>
      </c>
      <c r="J3377" s="3" t="str">
        <f>HYPERLINK("https://www.boe.es/gazeta/dias/1817/09/18/pdfs/GMD-1817-112.pdf#page=1","Abrir facsímil")</f>
        <v>Abrir facsímil</v>
      </c>
      <c r="K3377" s="3" t="s">
        <v>23</v>
      </c>
    </row>
    <row r="3378" spans="1:11" ht="42" customHeight="1">
      <c r="A3378" s="2" t="s">
        <v>8092</v>
      </c>
      <c r="B3378" s="2" t="s">
        <v>8093</v>
      </c>
      <c r="C3378" s="2" t="s">
        <v>17</v>
      </c>
      <c r="D3378" s="2" t="s">
        <v>18</v>
      </c>
      <c r="E3378" s="5">
        <v>-30305</v>
      </c>
      <c r="F3378" s="3" t="s">
        <v>405</v>
      </c>
      <c r="G3378" s="3" t="s">
        <v>4670</v>
      </c>
      <c r="H3378" s="2" t="s">
        <v>21</v>
      </c>
      <c r="I3378" s="2" t="s">
        <v>8094</v>
      </c>
      <c r="J3378" s="3" t="str">
        <f>HYPERLINK("https://www.boe.es/gazeta/dias/1817/01/09/pdfs/GMD-1817-4.pdf#page=6","Abrir facsímil")</f>
        <v>Abrir facsímil</v>
      </c>
      <c r="K3378" s="3" t="s">
        <v>23</v>
      </c>
    </row>
    <row r="3379" spans="1:11" ht="42" customHeight="1">
      <c r="A3379" s="2" t="s">
        <v>8095</v>
      </c>
      <c r="B3379" s="2" t="s">
        <v>8096</v>
      </c>
      <c r="C3379" s="2" t="s">
        <v>43</v>
      </c>
      <c r="D3379" s="2" t="s">
        <v>44</v>
      </c>
      <c r="E3379" s="5">
        <v>-30046</v>
      </c>
      <c r="F3379" s="3" t="s">
        <v>214</v>
      </c>
      <c r="G3379" s="3" t="s">
        <v>275</v>
      </c>
      <c r="H3379" s="2" t="s">
        <v>21</v>
      </c>
      <c r="I3379" s="2" t="s">
        <v>8097</v>
      </c>
      <c r="J3379" s="3" t="str">
        <f>HYPERLINK("https://www.boe.es/gazeta/dias/1817/09/25/pdfs/GMD-1817-115.pdf#page=12","Abrir facsímil")</f>
        <v>Abrir facsímil</v>
      </c>
      <c r="K3379" s="3" t="s">
        <v>23</v>
      </c>
    </row>
    <row r="3380" spans="1:11" ht="42" customHeight="1">
      <c r="A3380" s="2" t="s">
        <v>8098</v>
      </c>
      <c r="B3380" s="2" t="s">
        <v>8099</v>
      </c>
      <c r="C3380" s="2" t="s">
        <v>17</v>
      </c>
      <c r="D3380" s="2" t="s">
        <v>18</v>
      </c>
      <c r="E3380" s="5">
        <v>-30151</v>
      </c>
      <c r="F3380" s="3" t="s">
        <v>1422</v>
      </c>
      <c r="G3380" s="3" t="s">
        <v>39</v>
      </c>
      <c r="H3380" s="2" t="s">
        <v>21</v>
      </c>
      <c r="I3380" s="2" t="s">
        <v>8100</v>
      </c>
      <c r="J3380" s="3" t="str">
        <f>HYPERLINK("https://www.boe.es/gazeta/dias/1817/06/12/pdfs/GMD-1817-70.pdf#page=5","Abrir facsímil")</f>
        <v>Abrir facsímil</v>
      </c>
      <c r="K3380" s="3" t="s">
        <v>23</v>
      </c>
    </row>
    <row r="3381" spans="1:11" ht="42" customHeight="1">
      <c r="A3381" s="2" t="s">
        <v>8101</v>
      </c>
      <c r="B3381" s="2" t="s">
        <v>8102</v>
      </c>
      <c r="C3381" s="2" t="s">
        <v>510</v>
      </c>
      <c r="D3381" s="2" t="s">
        <v>44</v>
      </c>
      <c r="E3381" s="5">
        <v>-29978</v>
      </c>
      <c r="F3381" s="3" t="s">
        <v>478</v>
      </c>
      <c r="G3381" s="3" t="s">
        <v>39</v>
      </c>
      <c r="H3381" s="2" t="s">
        <v>21</v>
      </c>
      <c r="I3381" s="2" t="s">
        <v>8103</v>
      </c>
      <c r="J3381" s="3" t="str">
        <f>HYPERLINK("https://www.boe.es/gazeta/dias/1817/12/02/pdfs/GMD-1817-144.pdf#page=5","Abrir facsímil")</f>
        <v>Abrir facsímil</v>
      </c>
      <c r="K3381" s="3" t="s">
        <v>23</v>
      </c>
    </row>
    <row r="3382" spans="1:11" ht="42" customHeight="1">
      <c r="A3382" s="2" t="s">
        <v>8104</v>
      </c>
      <c r="B3382" s="2" t="s">
        <v>8105</v>
      </c>
      <c r="C3382" s="2" t="s">
        <v>36</v>
      </c>
      <c r="D3382" s="2" t="s">
        <v>37</v>
      </c>
      <c r="E3382" s="5">
        <v>-30006</v>
      </c>
      <c r="F3382" s="3" t="s">
        <v>210</v>
      </c>
      <c r="G3382" s="3" t="s">
        <v>863</v>
      </c>
      <c r="H3382" s="2" t="s">
        <v>21</v>
      </c>
      <c r="I3382" s="2" t="s">
        <v>8106</v>
      </c>
      <c r="J3382" s="3" t="str">
        <f>HYPERLINK("https://www.boe.es/gazeta/dias/1817/11/04/pdfs/GMD-1817-132.pdf#page=4","Abrir facsímil")</f>
        <v>Abrir facsímil</v>
      </c>
      <c r="K3382" s="3" t="s">
        <v>23</v>
      </c>
    </row>
    <row r="3383" spans="1:11" ht="42" customHeight="1">
      <c r="A3383" s="2" t="s">
        <v>8107</v>
      </c>
      <c r="B3383" s="2" t="s">
        <v>8108</v>
      </c>
      <c r="C3383" s="2" t="s">
        <v>17</v>
      </c>
      <c r="D3383" s="2" t="s">
        <v>18</v>
      </c>
      <c r="E3383" s="5">
        <v>-30226</v>
      </c>
      <c r="F3383" s="3" t="s">
        <v>416</v>
      </c>
      <c r="G3383" s="3" t="s">
        <v>551</v>
      </c>
      <c r="H3383" s="2" t="s">
        <v>21</v>
      </c>
      <c r="I3383" s="2" t="s">
        <v>8109</v>
      </c>
      <c r="J3383" s="3" t="str">
        <f>HYPERLINK("https://www.boe.es/gazeta/dias/1817/03/29/pdfs/GMD-1817-38.pdf#page=3","Abrir facsímil")</f>
        <v>Abrir facsímil</v>
      </c>
      <c r="K3383" s="3" t="s">
        <v>23</v>
      </c>
    </row>
    <row r="3384" spans="1:11" ht="42" customHeight="1">
      <c r="A3384" s="2" t="s">
        <v>8110</v>
      </c>
      <c r="B3384" s="2" t="s">
        <v>8111</v>
      </c>
      <c r="C3384" s="2" t="s">
        <v>55</v>
      </c>
      <c r="D3384" s="2" t="s">
        <v>44</v>
      </c>
      <c r="E3384" s="5">
        <v>-30100</v>
      </c>
      <c r="F3384" s="3" t="s">
        <v>436</v>
      </c>
      <c r="G3384" s="3" t="s">
        <v>77</v>
      </c>
      <c r="H3384" s="2" t="s">
        <v>21</v>
      </c>
      <c r="I3384" s="2" t="s">
        <v>8112</v>
      </c>
      <c r="J3384" s="3" t="str">
        <f>HYPERLINK("https://www.boe.es/gazeta/dias/1817/08/02/pdfs/GMD-1817-92.pdf#page=8","Abrir facsímil")</f>
        <v>Abrir facsímil</v>
      </c>
      <c r="K3384" s="3" t="s">
        <v>23</v>
      </c>
    </row>
    <row r="3385" spans="1:11" ht="42" customHeight="1">
      <c r="A3385" s="2" t="s">
        <v>8113</v>
      </c>
      <c r="B3385" s="2" t="s">
        <v>8114</v>
      </c>
      <c r="C3385" s="2" t="s">
        <v>36</v>
      </c>
      <c r="D3385" s="2" t="s">
        <v>37</v>
      </c>
      <c r="E3385" s="5">
        <v>-30244</v>
      </c>
      <c r="F3385" s="3" t="s">
        <v>1482</v>
      </c>
      <c r="G3385" s="3" t="s">
        <v>77</v>
      </c>
      <c r="H3385" s="2" t="s">
        <v>21</v>
      </c>
      <c r="I3385" s="2" t="s">
        <v>8115</v>
      </c>
      <c r="J3385" s="3" t="str">
        <f>HYPERLINK("https://www.boe.es/gazeta/dias/1817/03/11/pdfs/GMD-1817-30.pdf#page=8","Abrir facsímil")</f>
        <v>Abrir facsímil</v>
      </c>
      <c r="K3385" s="3" t="s">
        <v>23</v>
      </c>
    </row>
    <row r="3386" spans="1:11" ht="42" customHeight="1">
      <c r="A3386" s="2" t="s">
        <v>8116</v>
      </c>
      <c r="B3386" s="2" t="s">
        <v>8117</v>
      </c>
      <c r="C3386" s="2" t="s">
        <v>43</v>
      </c>
      <c r="D3386" s="2" t="s">
        <v>44</v>
      </c>
      <c r="E3386" s="5">
        <v>-30284</v>
      </c>
      <c r="F3386" s="3" t="s">
        <v>741</v>
      </c>
      <c r="G3386" s="3" t="s">
        <v>742</v>
      </c>
      <c r="H3386" s="2" t="s">
        <v>21</v>
      </c>
      <c r="I3386" s="2" t="s">
        <v>8118</v>
      </c>
      <c r="J3386" s="3" t="str">
        <f>HYPERLINK("https://www.boe.es/gazeta/dias/1817/01/30/pdfs/GMD-1817-13.pdf#page=4","Abrir facsímil")</f>
        <v>Abrir facsímil</v>
      </c>
      <c r="K3386" s="3" t="s">
        <v>23</v>
      </c>
    </row>
    <row r="3387" spans="1:11" ht="42" customHeight="1">
      <c r="A3387" s="2" t="s">
        <v>8116</v>
      </c>
      <c r="B3387" s="2" t="s">
        <v>8117</v>
      </c>
      <c r="C3387" s="2" t="s">
        <v>36</v>
      </c>
      <c r="D3387" s="2" t="s">
        <v>37</v>
      </c>
      <c r="E3387" s="5">
        <v>-30279</v>
      </c>
      <c r="F3387" s="3" t="s">
        <v>1113</v>
      </c>
      <c r="G3387" s="3" t="s">
        <v>77</v>
      </c>
      <c r="H3387" s="2" t="s">
        <v>21</v>
      </c>
      <c r="I3387" s="2" t="s">
        <v>8119</v>
      </c>
      <c r="J3387" s="3" t="str">
        <f>HYPERLINK("https://www.boe.es/gazeta/dias/1817/02/04/pdfs/GMD-1817-15.pdf#page=8","Abrir facsímil")</f>
        <v>Abrir facsímil</v>
      </c>
      <c r="K3387" s="3" t="s">
        <v>23</v>
      </c>
    </row>
    <row r="3388" spans="1:11" ht="42" customHeight="1">
      <c r="A3388" s="2" t="s">
        <v>8116</v>
      </c>
      <c r="B3388" s="2" t="s">
        <v>8117</v>
      </c>
      <c r="C3388" s="2" t="s">
        <v>36</v>
      </c>
      <c r="D3388" s="2" t="s">
        <v>37</v>
      </c>
      <c r="E3388" s="5">
        <v>-30219</v>
      </c>
      <c r="F3388" s="3" t="s">
        <v>1346</v>
      </c>
      <c r="G3388" s="3" t="s">
        <v>1347</v>
      </c>
      <c r="H3388" s="2" t="s">
        <v>21</v>
      </c>
      <c r="I3388" s="2" t="s">
        <v>8120</v>
      </c>
      <c r="J3388" s="3" t="str">
        <f>HYPERLINK("https://www.boe.es/gazeta/dias/1817/04/05/pdfs/GMD-1817-41.pdf#page=8","Abrir facsímil")</f>
        <v>Abrir facsímil</v>
      </c>
      <c r="K3388" s="3" t="s">
        <v>23</v>
      </c>
    </row>
    <row r="3389" spans="1:11" ht="42" customHeight="1">
      <c r="A3389" s="2" t="s">
        <v>8121</v>
      </c>
      <c r="B3389" s="2" t="s">
        <v>8122</v>
      </c>
      <c r="C3389" s="2" t="s">
        <v>36</v>
      </c>
      <c r="D3389" s="2" t="s">
        <v>37</v>
      </c>
      <c r="E3389" s="5">
        <v>-30265</v>
      </c>
      <c r="F3389" s="3" t="s">
        <v>107</v>
      </c>
      <c r="G3389" s="3" t="s">
        <v>4980</v>
      </c>
      <c r="H3389" s="2" t="s">
        <v>21</v>
      </c>
      <c r="I3389" s="2" t="s">
        <v>8123</v>
      </c>
      <c r="J3389" s="3" t="str">
        <f>HYPERLINK("https://www.boe.es/gazeta/dias/1817/02/18/pdfs/GMD-1817-21.pdf#page=4","Abrir facsímil")</f>
        <v>Abrir facsímil</v>
      </c>
      <c r="K3389" s="3" t="s">
        <v>23</v>
      </c>
    </row>
    <row r="3390" spans="1:11" ht="42" customHeight="1">
      <c r="A3390" s="2" t="s">
        <v>8124</v>
      </c>
      <c r="B3390" s="2" t="s">
        <v>8125</v>
      </c>
      <c r="C3390" s="2" t="s">
        <v>43</v>
      </c>
      <c r="D3390" s="2" t="s">
        <v>44</v>
      </c>
      <c r="E3390" s="5">
        <v>-30228</v>
      </c>
      <c r="F3390" s="3" t="s">
        <v>383</v>
      </c>
      <c r="G3390" s="3" t="s">
        <v>57</v>
      </c>
      <c r="H3390" s="2" t="s">
        <v>21</v>
      </c>
      <c r="I3390" s="2" t="s">
        <v>8126</v>
      </c>
      <c r="J3390" s="3" t="str">
        <f>HYPERLINK("https://www.boe.es/gazeta/dias/1817/03/27/pdfs/GMD-1817-37.pdf#page=6","Abrir facsímil")</f>
        <v>Abrir facsímil</v>
      </c>
      <c r="K3390" s="3" t="s">
        <v>23</v>
      </c>
    </row>
    <row r="3391" spans="1:11" ht="42" customHeight="1">
      <c r="A3391" s="2" t="s">
        <v>8127</v>
      </c>
      <c r="B3391" s="2" t="s">
        <v>8128</v>
      </c>
      <c r="C3391" s="2" t="s">
        <v>138</v>
      </c>
      <c r="D3391" s="2" t="s">
        <v>44</v>
      </c>
      <c r="E3391" s="5">
        <v>-30132</v>
      </c>
      <c r="F3391" s="3" t="s">
        <v>718</v>
      </c>
      <c r="G3391" s="3" t="s">
        <v>77</v>
      </c>
      <c r="H3391" s="2" t="s">
        <v>21</v>
      </c>
      <c r="I3391" s="2" t="s">
        <v>8129</v>
      </c>
      <c r="J3391" s="3" t="str">
        <f>HYPERLINK("https://www.boe.es/gazeta/dias/1817/07/01/pdfs/GMD-1817-78.pdf#page=8","Abrir facsímil")</f>
        <v>Abrir facsímil</v>
      </c>
      <c r="K3391" s="3" t="s">
        <v>23</v>
      </c>
    </row>
    <row r="3392" spans="1:11" ht="42" customHeight="1">
      <c r="A3392" s="2" t="s">
        <v>8127</v>
      </c>
      <c r="B3392" s="2" t="s">
        <v>8128</v>
      </c>
      <c r="C3392" s="2" t="s">
        <v>36</v>
      </c>
      <c r="D3392" s="2" t="s">
        <v>37</v>
      </c>
      <c r="E3392" s="5">
        <v>-30076</v>
      </c>
      <c r="F3392" s="3" t="s">
        <v>439</v>
      </c>
      <c r="G3392" s="3" t="s">
        <v>77</v>
      </c>
      <c r="H3392" s="2" t="s">
        <v>21</v>
      </c>
      <c r="I3392" s="2" t="s">
        <v>8130</v>
      </c>
      <c r="J3392" s="3" t="str">
        <f>HYPERLINK("https://www.boe.es/gazeta/dias/1817/08/26/pdfs/GMD-1817-102.pdf#page=8","Abrir facsímil")</f>
        <v>Abrir facsímil</v>
      </c>
      <c r="K3392" s="3" t="s">
        <v>23</v>
      </c>
    </row>
    <row r="3393" spans="1:11" ht="42" customHeight="1">
      <c r="A3393" s="2" t="s">
        <v>8131</v>
      </c>
      <c r="B3393" s="2" t="s">
        <v>8132</v>
      </c>
      <c r="C3393" s="2" t="s">
        <v>43</v>
      </c>
      <c r="D3393" s="2" t="s">
        <v>44</v>
      </c>
      <c r="E3393" s="5">
        <v>-30251</v>
      </c>
      <c r="F3393" s="3" t="s">
        <v>2096</v>
      </c>
      <c r="G3393" s="3" t="s">
        <v>77</v>
      </c>
      <c r="H3393" s="2" t="s">
        <v>21</v>
      </c>
      <c r="I3393" s="2" t="s">
        <v>8133</v>
      </c>
      <c r="J3393" s="3" t="str">
        <f>HYPERLINK("https://www.boe.es/gazeta/dias/1817/03/04/pdfs/GMD-1817-27.pdf#page=8","Abrir facsímil")</f>
        <v>Abrir facsímil</v>
      </c>
      <c r="K3393" s="3" t="s">
        <v>23</v>
      </c>
    </row>
    <row r="3394" spans="1:11" ht="42" customHeight="1">
      <c r="A3394" s="2" t="s">
        <v>8134</v>
      </c>
      <c r="B3394" s="2" t="s">
        <v>8135</v>
      </c>
      <c r="C3394" s="2" t="s">
        <v>43</v>
      </c>
      <c r="D3394" s="2" t="s">
        <v>44</v>
      </c>
      <c r="E3394" s="5">
        <v>-30286</v>
      </c>
      <c r="F3394" s="3" t="s">
        <v>354</v>
      </c>
      <c r="G3394" s="3" t="s">
        <v>57</v>
      </c>
      <c r="H3394" s="2" t="s">
        <v>21</v>
      </c>
      <c r="I3394" s="2" t="s">
        <v>8136</v>
      </c>
      <c r="J3394" s="3" t="str">
        <f>HYPERLINK("https://www.boe.es/gazeta/dias/1817/01/28/pdfs/GMD-1817-12.pdf#page=6","Abrir facsímil")</f>
        <v>Abrir facsímil</v>
      </c>
      <c r="K3394" s="3" t="s">
        <v>23</v>
      </c>
    </row>
    <row r="3395" spans="1:11" ht="42" customHeight="1">
      <c r="A3395" s="2" t="s">
        <v>8137</v>
      </c>
      <c r="B3395" s="2" t="s">
        <v>8137</v>
      </c>
      <c r="C3395" s="2" t="s">
        <v>36</v>
      </c>
      <c r="D3395" s="2" t="s">
        <v>37</v>
      </c>
      <c r="E3395" s="5">
        <v>-29983</v>
      </c>
      <c r="F3395" s="3" t="s">
        <v>148</v>
      </c>
      <c r="G3395" s="3" t="s">
        <v>1214</v>
      </c>
      <c r="H3395" s="2" t="s">
        <v>21</v>
      </c>
      <c r="I3395" s="2" t="s">
        <v>8138</v>
      </c>
      <c r="J3395" s="3" t="str">
        <f>HYPERLINK("https://www.boe.es/gazeta/dias/1817/11/27/pdfs/GMD-1817-142.pdf#page=5","Abrir facsímil")</f>
        <v>Abrir facsímil</v>
      </c>
      <c r="K3395" s="3" t="s">
        <v>23</v>
      </c>
    </row>
    <row r="3396" spans="1:11" ht="42" customHeight="1">
      <c r="A3396" s="2" t="s">
        <v>8139</v>
      </c>
      <c r="B3396" s="2" t="s">
        <v>8140</v>
      </c>
      <c r="C3396" s="2" t="s">
        <v>36</v>
      </c>
      <c r="D3396" s="2" t="s">
        <v>37</v>
      </c>
      <c r="E3396" s="5">
        <v>-29969</v>
      </c>
      <c r="F3396" s="3" t="s">
        <v>252</v>
      </c>
      <c r="G3396" s="3" t="s">
        <v>77</v>
      </c>
      <c r="H3396" s="2" t="s">
        <v>21</v>
      </c>
      <c r="I3396" s="2" t="s">
        <v>8141</v>
      </c>
      <c r="J3396" s="3" t="str">
        <f>HYPERLINK("https://www.boe.es/gazeta/dias/1817/12/11/pdfs/GMD-1817-148.pdf#page=8","Abrir facsímil")</f>
        <v>Abrir facsímil</v>
      </c>
      <c r="K3396" s="3" t="s">
        <v>23</v>
      </c>
    </row>
    <row r="3397" spans="1:11" ht="42" customHeight="1">
      <c r="A3397" s="2" t="s">
        <v>8142</v>
      </c>
      <c r="B3397" s="2" t="s">
        <v>8143</v>
      </c>
      <c r="C3397" s="2" t="s">
        <v>43</v>
      </c>
      <c r="D3397" s="2" t="s">
        <v>44</v>
      </c>
      <c r="E3397" s="5">
        <v>-30151</v>
      </c>
      <c r="F3397" s="3" t="s">
        <v>1422</v>
      </c>
      <c r="G3397" s="3" t="s">
        <v>39</v>
      </c>
      <c r="H3397" s="2" t="s">
        <v>21</v>
      </c>
      <c r="I3397" s="2" t="s">
        <v>8144</v>
      </c>
      <c r="J3397" s="3" t="str">
        <f>HYPERLINK("https://www.boe.es/gazeta/dias/1817/06/12/pdfs/GMD-1817-70.pdf#page=5","Abrir facsímil")</f>
        <v>Abrir facsímil</v>
      </c>
      <c r="K3397" s="3" t="s">
        <v>23</v>
      </c>
    </row>
    <row r="3398" spans="1:11" ht="42" customHeight="1">
      <c r="A3398" s="2" t="s">
        <v>8145</v>
      </c>
      <c r="B3398" s="2" t="s">
        <v>8146</v>
      </c>
      <c r="C3398" s="2" t="s">
        <v>36</v>
      </c>
      <c r="D3398" s="2" t="s">
        <v>37</v>
      </c>
      <c r="E3398" s="5">
        <v>-30083</v>
      </c>
      <c r="F3398" s="3" t="s">
        <v>1273</v>
      </c>
      <c r="G3398" s="3" t="s">
        <v>20</v>
      </c>
      <c r="H3398" s="2" t="s">
        <v>21</v>
      </c>
      <c r="I3398" s="2" t="s">
        <v>8147</v>
      </c>
      <c r="J3398" s="3" t="str">
        <f>HYPERLINK("https://www.boe.es/gazeta/dias/1817/08/19/pdfs/GMD-1817-99.pdf#page=7","Abrir facsímil")</f>
        <v>Abrir facsímil</v>
      </c>
      <c r="K3398" s="3" t="s">
        <v>23</v>
      </c>
    </row>
    <row r="3399" spans="1:11" ht="42" customHeight="1">
      <c r="A3399" s="2" t="s">
        <v>8148</v>
      </c>
      <c r="B3399" s="2" t="s">
        <v>8149</v>
      </c>
      <c r="C3399" s="2" t="s">
        <v>17</v>
      </c>
      <c r="D3399" s="2" t="s">
        <v>18</v>
      </c>
      <c r="E3399" s="5">
        <v>-30079</v>
      </c>
      <c r="F3399" s="3" t="s">
        <v>45</v>
      </c>
      <c r="G3399" s="3" t="s">
        <v>77</v>
      </c>
      <c r="H3399" s="2" t="s">
        <v>21</v>
      </c>
      <c r="I3399" s="2" t="s">
        <v>8150</v>
      </c>
      <c r="J3399" s="3" t="str">
        <f>HYPERLINK("https://www.boe.es/gazeta/dias/1817/08/23/pdfs/GMD-1817-101.pdf#page=8","Abrir facsímil")</f>
        <v>Abrir facsímil</v>
      </c>
      <c r="K3399" s="3" t="s">
        <v>23</v>
      </c>
    </row>
    <row r="3400" spans="1:11" ht="42" customHeight="1">
      <c r="A3400" s="2" t="s">
        <v>8151</v>
      </c>
      <c r="B3400" s="2" t="s">
        <v>8152</v>
      </c>
      <c r="C3400" s="2" t="s">
        <v>43</v>
      </c>
      <c r="D3400" s="2" t="s">
        <v>44</v>
      </c>
      <c r="E3400" s="5">
        <v>-30060</v>
      </c>
      <c r="F3400" s="3" t="s">
        <v>446</v>
      </c>
      <c r="G3400" s="3" t="s">
        <v>77</v>
      </c>
      <c r="H3400" s="2" t="s">
        <v>21</v>
      </c>
      <c r="I3400" s="2" t="s">
        <v>8153</v>
      </c>
      <c r="J3400" s="3" t="str">
        <f>HYPERLINK("https://www.boe.es/gazeta/dias/1817/09/11/pdfs/GMD-1817-109.pdf#page=8","Abrir facsímil")</f>
        <v>Abrir facsímil</v>
      </c>
      <c r="K3400" s="3" t="s">
        <v>23</v>
      </c>
    </row>
    <row r="3401" spans="1:11" ht="42" customHeight="1">
      <c r="A3401" s="2" t="s">
        <v>8154</v>
      </c>
      <c r="B3401" s="2" t="s">
        <v>8154</v>
      </c>
      <c r="C3401" s="2" t="s">
        <v>43</v>
      </c>
      <c r="D3401" s="2" t="s">
        <v>44</v>
      </c>
      <c r="E3401" s="5">
        <v>-30058</v>
      </c>
      <c r="F3401" s="3" t="s">
        <v>1385</v>
      </c>
      <c r="G3401" s="3" t="s">
        <v>8155</v>
      </c>
      <c r="H3401" s="2" t="s">
        <v>21</v>
      </c>
      <c r="I3401" s="2" t="s">
        <v>8156</v>
      </c>
      <c r="J3401" s="3" t="str">
        <f>HYPERLINK("https://www.boe.es/gazeta/dias/1817/09/13/pdfs/GMD-1817-110.pdf#page=2","Abrir facsímil")</f>
        <v>Abrir facsímil</v>
      </c>
      <c r="K3401" s="3" t="s">
        <v>23</v>
      </c>
    </row>
    <row r="3402" spans="1:11" ht="42" customHeight="1">
      <c r="A3402" s="2" t="s">
        <v>8154</v>
      </c>
      <c r="B3402" s="2" t="s">
        <v>8154</v>
      </c>
      <c r="C3402" s="2" t="s">
        <v>17</v>
      </c>
      <c r="D3402" s="2" t="s">
        <v>18</v>
      </c>
      <c r="E3402" s="5">
        <v>-30041</v>
      </c>
      <c r="F3402" s="3" t="s">
        <v>260</v>
      </c>
      <c r="G3402" s="3" t="s">
        <v>8157</v>
      </c>
      <c r="H3402" s="2" t="s">
        <v>21</v>
      </c>
      <c r="I3402" s="2" t="s">
        <v>8158</v>
      </c>
      <c r="J3402" s="3" t="str">
        <f>HYPERLINK("https://www.boe.es/gazeta/dias/1817/09/30/pdfs/GMD-1817-117.pdf#page=2","Abrir facsímil")</f>
        <v>Abrir facsímil</v>
      </c>
      <c r="K3402" s="3" t="s">
        <v>23</v>
      </c>
    </row>
    <row r="3403" spans="1:11" ht="42" customHeight="1">
      <c r="A3403" s="2" t="s">
        <v>8159</v>
      </c>
      <c r="B3403" s="2" t="s">
        <v>8160</v>
      </c>
      <c r="C3403" s="2" t="s">
        <v>36</v>
      </c>
      <c r="D3403" s="2" t="s">
        <v>37</v>
      </c>
      <c r="E3403" s="5">
        <v>-30286</v>
      </c>
      <c r="F3403" s="3" t="s">
        <v>354</v>
      </c>
      <c r="G3403" s="3" t="s">
        <v>551</v>
      </c>
      <c r="H3403" s="2" t="s">
        <v>21</v>
      </c>
      <c r="I3403" s="2" t="s">
        <v>8161</v>
      </c>
      <c r="J3403" s="3" t="str">
        <f>HYPERLINK("https://www.boe.es/gazeta/dias/1817/01/28/pdfs/GMD-1817-12.pdf#page=3","Abrir facsímil")</f>
        <v>Abrir facsímil</v>
      </c>
      <c r="K3403" s="3" t="s">
        <v>23</v>
      </c>
    </row>
    <row r="3404" spans="1:11" ht="42" customHeight="1">
      <c r="A3404" s="2" t="s">
        <v>8159</v>
      </c>
      <c r="B3404" s="2" t="s">
        <v>8160</v>
      </c>
      <c r="C3404" s="2" t="s">
        <v>510</v>
      </c>
      <c r="D3404" s="2" t="s">
        <v>44</v>
      </c>
      <c r="E3404" s="5">
        <v>-30251</v>
      </c>
      <c r="F3404" s="3" t="s">
        <v>2096</v>
      </c>
      <c r="G3404" s="3" t="s">
        <v>72</v>
      </c>
      <c r="H3404" s="2" t="s">
        <v>21</v>
      </c>
      <c r="I3404" s="2" t="s">
        <v>8162</v>
      </c>
      <c r="J3404" s="3" t="str">
        <f>HYPERLINK("https://www.boe.es/gazeta/dias/1817/03/04/pdfs/GMD-1817-27.pdf#page=1","Abrir facsímil")</f>
        <v>Abrir facsímil</v>
      </c>
      <c r="K3404" s="3" t="s">
        <v>23</v>
      </c>
    </row>
    <row r="3405" spans="1:11" ht="42" customHeight="1">
      <c r="A3405" s="2" t="s">
        <v>8159</v>
      </c>
      <c r="B3405" s="2" t="s">
        <v>8160</v>
      </c>
      <c r="C3405" s="2" t="s">
        <v>36</v>
      </c>
      <c r="D3405" s="2" t="s">
        <v>37</v>
      </c>
      <c r="E3405" s="5">
        <v>-30123</v>
      </c>
      <c r="F3405" s="3" t="s">
        <v>848</v>
      </c>
      <c r="G3405" s="3" t="s">
        <v>849</v>
      </c>
      <c r="H3405" s="2" t="s">
        <v>21</v>
      </c>
      <c r="I3405" s="2" t="s">
        <v>8163</v>
      </c>
      <c r="J3405" s="3" t="str">
        <f>HYPERLINK("https://www.boe.es/gazeta/dias/1817/07/10/pdfs/GMD-1817-82.pdf#page=4","Abrir facsímil")</f>
        <v>Abrir facsímil</v>
      </c>
      <c r="K3405" s="3" t="s">
        <v>23</v>
      </c>
    </row>
    <row r="3406" spans="1:11" ht="42" customHeight="1">
      <c r="A3406" s="2" t="s">
        <v>8164</v>
      </c>
      <c r="B3406" s="2" t="s">
        <v>8165</v>
      </c>
      <c r="C3406" s="2" t="s">
        <v>36</v>
      </c>
      <c r="D3406" s="2" t="s">
        <v>37</v>
      </c>
      <c r="E3406" s="5">
        <v>-30128</v>
      </c>
      <c r="F3406" s="3" t="s">
        <v>761</v>
      </c>
      <c r="G3406" s="3" t="s">
        <v>973</v>
      </c>
      <c r="H3406" s="2" t="s">
        <v>27</v>
      </c>
      <c r="I3406" s="2" t="s">
        <v>8166</v>
      </c>
      <c r="J3406" s="3" t="str">
        <f>HYPERLINK("https://www.boe.es/gazeta/dias/1817/07/05/pdfs/GMD-1817-80.pdf#page=6","Abrir facsímil")</f>
        <v>Abrir facsímil</v>
      </c>
      <c r="K3406" s="3" t="s">
        <v>29</v>
      </c>
    </row>
    <row r="3407" spans="1:11" ht="42" customHeight="1">
      <c r="A3407" s="2" t="s">
        <v>8167</v>
      </c>
      <c r="B3407" s="2" t="s">
        <v>8168</v>
      </c>
      <c r="C3407" s="2" t="s">
        <v>36</v>
      </c>
      <c r="D3407" s="2" t="s">
        <v>37</v>
      </c>
      <c r="E3407" s="5">
        <v>-30104</v>
      </c>
      <c r="F3407" s="3" t="s">
        <v>856</v>
      </c>
      <c r="G3407" s="3" t="s">
        <v>20</v>
      </c>
      <c r="H3407" s="2" t="s">
        <v>21</v>
      </c>
      <c r="I3407" s="2" t="s">
        <v>8169</v>
      </c>
      <c r="J3407" s="3" t="str">
        <f>HYPERLINK("https://www.boe.es/gazeta/dias/1817/07/29/pdfs/GMD-1817-90.pdf#page=7","Abrir facsímil")</f>
        <v>Abrir facsímil</v>
      </c>
      <c r="K3407" s="3" t="s">
        <v>23</v>
      </c>
    </row>
    <row r="3408" spans="1:11" ht="42" customHeight="1">
      <c r="A3408" s="2" t="s">
        <v>8170</v>
      </c>
      <c r="B3408" s="2" t="s">
        <v>8171</v>
      </c>
      <c r="C3408" s="2" t="s">
        <v>17</v>
      </c>
      <c r="D3408" s="2" t="s">
        <v>18</v>
      </c>
      <c r="E3408" s="5">
        <v>-30020</v>
      </c>
      <c r="F3408" s="3" t="s">
        <v>291</v>
      </c>
      <c r="G3408" s="3" t="s">
        <v>2534</v>
      </c>
      <c r="H3408" s="2" t="s">
        <v>21</v>
      </c>
      <c r="I3408" s="2" t="s">
        <v>8172</v>
      </c>
      <c r="J3408" s="3" t="str">
        <f>HYPERLINK("https://www.boe.es/gazeta/dias/1817/10/21/pdfs/GMD-1817-126.pdf#page=8","Abrir facsímil")</f>
        <v>Abrir facsímil</v>
      </c>
      <c r="K3408" s="3" t="s">
        <v>23</v>
      </c>
    </row>
    <row r="3409" spans="1:11" ht="42" customHeight="1">
      <c r="A3409" s="2" t="s">
        <v>8173</v>
      </c>
      <c r="B3409" s="2" t="s">
        <v>8174</v>
      </c>
      <c r="C3409" s="2" t="s">
        <v>43</v>
      </c>
      <c r="D3409" s="2" t="s">
        <v>44</v>
      </c>
      <c r="E3409" s="5">
        <v>-29988</v>
      </c>
      <c r="F3409" s="3" t="s">
        <v>569</v>
      </c>
      <c r="G3409" s="3" t="s">
        <v>20</v>
      </c>
      <c r="H3409" s="2" t="s">
        <v>21</v>
      </c>
      <c r="I3409" s="2" t="s">
        <v>8175</v>
      </c>
      <c r="J3409" s="3" t="str">
        <f>HYPERLINK("https://www.boe.es/gazeta/dias/1817/11/22/pdfs/GMD-1817-140.pdf#page=7","Abrir facsímil")</f>
        <v>Abrir facsímil</v>
      </c>
      <c r="K3409" s="3" t="s">
        <v>23</v>
      </c>
    </row>
    <row r="3410" spans="1:11" ht="42" customHeight="1">
      <c r="A3410" s="2" t="s">
        <v>8176</v>
      </c>
      <c r="B3410" s="2" t="s">
        <v>8177</v>
      </c>
      <c r="C3410" s="2" t="s">
        <v>55</v>
      </c>
      <c r="D3410" s="2" t="s">
        <v>44</v>
      </c>
      <c r="E3410" s="5">
        <v>-30086</v>
      </c>
      <c r="F3410" s="3" t="s">
        <v>221</v>
      </c>
      <c r="G3410" s="3" t="s">
        <v>39</v>
      </c>
      <c r="H3410" s="2" t="s">
        <v>21</v>
      </c>
      <c r="I3410" s="2" t="s">
        <v>8178</v>
      </c>
      <c r="J3410" s="3" t="str">
        <f>HYPERLINK("https://www.boe.es/gazeta/dias/1817/08/16/pdfs/GMD-1817-98.pdf#page=5","Abrir facsímil")</f>
        <v>Abrir facsímil</v>
      </c>
      <c r="K3410" s="3" t="s">
        <v>23</v>
      </c>
    </row>
    <row r="3411" spans="1:11" ht="42" customHeight="1">
      <c r="A3411" s="2" t="s">
        <v>8179</v>
      </c>
      <c r="B3411" s="2" t="s">
        <v>8180</v>
      </c>
      <c r="C3411" s="2" t="s">
        <v>17</v>
      </c>
      <c r="D3411" s="2" t="s">
        <v>18</v>
      </c>
      <c r="E3411" s="5">
        <v>-29953</v>
      </c>
      <c r="F3411" s="3" t="s">
        <v>793</v>
      </c>
      <c r="G3411" s="3" t="s">
        <v>57</v>
      </c>
      <c r="H3411" s="2" t="s">
        <v>21</v>
      </c>
      <c r="I3411" s="2" t="s">
        <v>8181</v>
      </c>
      <c r="J3411" s="3" t="str">
        <f>HYPERLINK("https://www.boe.es/gazeta/dias/1817/12/27/pdfs/GMD-1817-155.pdf#page=6","Abrir facsímil")</f>
        <v>Abrir facsímil</v>
      </c>
      <c r="K3411" s="3" t="s">
        <v>23</v>
      </c>
    </row>
    <row r="3412" spans="1:11" ht="42" customHeight="1">
      <c r="A3412" s="2" t="s">
        <v>8182</v>
      </c>
      <c r="B3412" s="2" t="s">
        <v>8183</v>
      </c>
      <c r="C3412" s="2" t="s">
        <v>36</v>
      </c>
      <c r="D3412" s="2" t="s">
        <v>37</v>
      </c>
      <c r="E3412" s="5">
        <v>-30046</v>
      </c>
      <c r="F3412" s="3" t="s">
        <v>214</v>
      </c>
      <c r="G3412" s="3" t="s">
        <v>275</v>
      </c>
      <c r="H3412" s="2" t="s">
        <v>21</v>
      </c>
      <c r="I3412" s="2" t="s">
        <v>8184</v>
      </c>
      <c r="J3412" s="3" t="str">
        <f>HYPERLINK("https://www.boe.es/gazeta/dias/1817/09/25/pdfs/GMD-1817-115.pdf#page=12","Abrir facsímil")</f>
        <v>Abrir facsímil</v>
      </c>
      <c r="K3412" s="3" t="s">
        <v>23</v>
      </c>
    </row>
    <row r="3413" spans="1:11" ht="42" customHeight="1">
      <c r="A3413" s="2" t="s">
        <v>8185</v>
      </c>
      <c r="B3413" s="2" t="s">
        <v>8186</v>
      </c>
      <c r="C3413" s="2" t="s">
        <v>17</v>
      </c>
      <c r="D3413" s="2" t="s">
        <v>18</v>
      </c>
      <c r="E3413" s="5">
        <v>-29985</v>
      </c>
      <c r="F3413" s="3" t="s">
        <v>76</v>
      </c>
      <c r="G3413" s="3" t="s">
        <v>82</v>
      </c>
      <c r="H3413" s="2" t="s">
        <v>21</v>
      </c>
      <c r="I3413" s="2" t="s">
        <v>8187</v>
      </c>
      <c r="J3413" s="3" t="str">
        <f>HYPERLINK("https://www.boe.es/gazeta/dias/1817/11/25/pdfs/GMD-1817-141.pdf#page=12","Abrir facsímil")</f>
        <v>Abrir facsímil</v>
      </c>
      <c r="K3413" s="3" t="s">
        <v>23</v>
      </c>
    </row>
    <row r="3414" spans="1:11" ht="42" customHeight="1">
      <c r="A3414" s="2" t="s">
        <v>8188</v>
      </c>
      <c r="B3414" s="2" t="s">
        <v>8188</v>
      </c>
      <c r="C3414" s="2" t="s">
        <v>36</v>
      </c>
      <c r="D3414" s="2" t="s">
        <v>37</v>
      </c>
      <c r="E3414" s="5">
        <v>-30305</v>
      </c>
      <c r="F3414" s="3" t="s">
        <v>405</v>
      </c>
      <c r="G3414" s="3" t="s">
        <v>7687</v>
      </c>
      <c r="H3414" s="2" t="s">
        <v>21</v>
      </c>
      <c r="I3414" s="2" t="s">
        <v>8189</v>
      </c>
      <c r="J3414" s="3" t="str">
        <f>HYPERLINK("https://www.boe.es/gazeta/dias/1817/01/09/pdfs/GMD-1817-4.pdf#page=5","Abrir facsímil")</f>
        <v>Abrir facsímil</v>
      </c>
      <c r="K3414" s="3" t="s">
        <v>23</v>
      </c>
    </row>
    <row r="3415" spans="1:11" ht="42" customHeight="1">
      <c r="A3415" s="2" t="s">
        <v>8190</v>
      </c>
      <c r="B3415" s="2" t="s">
        <v>8191</v>
      </c>
      <c r="C3415" s="2" t="s">
        <v>36</v>
      </c>
      <c r="D3415" s="2" t="s">
        <v>37</v>
      </c>
      <c r="E3415" s="5">
        <v>-30261</v>
      </c>
      <c r="F3415" s="3" t="s">
        <v>226</v>
      </c>
      <c r="G3415" s="3" t="s">
        <v>57</v>
      </c>
      <c r="H3415" s="2" t="s">
        <v>21</v>
      </c>
      <c r="I3415" s="2" t="s">
        <v>8192</v>
      </c>
      <c r="J3415" s="3" t="str">
        <f>HYPERLINK("https://www.boe.es/gazeta/dias/1817/02/22/pdfs/GMD-1817-23.pdf#page=6","Abrir facsímil")</f>
        <v>Abrir facsímil</v>
      </c>
      <c r="K3415" s="3" t="s">
        <v>23</v>
      </c>
    </row>
    <row r="3416" spans="1:11" ht="42" customHeight="1">
      <c r="A3416" s="2" t="s">
        <v>8193</v>
      </c>
      <c r="B3416" s="2" t="s">
        <v>8194</v>
      </c>
      <c r="C3416" s="2" t="s">
        <v>43</v>
      </c>
      <c r="D3416" s="2" t="s">
        <v>44</v>
      </c>
      <c r="E3416" s="5">
        <v>-30013</v>
      </c>
      <c r="F3416" s="3" t="s">
        <v>464</v>
      </c>
      <c r="G3416" s="3" t="s">
        <v>39</v>
      </c>
      <c r="H3416" s="2" t="s">
        <v>21</v>
      </c>
      <c r="I3416" s="2" t="s">
        <v>8195</v>
      </c>
      <c r="J3416" s="3" t="str">
        <f>HYPERLINK("https://www.boe.es/gazeta/dias/1817/10/28/pdfs/GMD-1817-129.pdf#page=5","Abrir facsímil")</f>
        <v>Abrir facsímil</v>
      </c>
      <c r="K3416" s="3" t="s">
        <v>23</v>
      </c>
    </row>
    <row r="3417" spans="1:11" ht="42" customHeight="1">
      <c r="A3417" s="2" t="s">
        <v>8196</v>
      </c>
      <c r="B3417" s="2" t="s">
        <v>8197</v>
      </c>
      <c r="C3417" s="2" t="s">
        <v>36</v>
      </c>
      <c r="D3417" s="2" t="s">
        <v>37</v>
      </c>
      <c r="E3417" s="5">
        <v>-30298</v>
      </c>
      <c r="F3417" s="3" t="s">
        <v>489</v>
      </c>
      <c r="G3417" s="3" t="s">
        <v>644</v>
      </c>
      <c r="H3417" s="2" t="s">
        <v>21</v>
      </c>
      <c r="I3417" s="2" t="s">
        <v>8198</v>
      </c>
      <c r="J3417" s="3" t="str">
        <f>HYPERLINK("https://www.boe.es/gazeta/dias/1817/01/16/pdfs/GMD-1817-7.pdf#page=5","Abrir facsímil")</f>
        <v>Abrir facsímil</v>
      </c>
      <c r="K3417" s="3" t="s">
        <v>23</v>
      </c>
    </row>
    <row r="3418" spans="1:11" ht="42" customHeight="1">
      <c r="A3418" s="2" t="s">
        <v>8199</v>
      </c>
      <c r="B3418" s="2" t="s">
        <v>8200</v>
      </c>
      <c r="C3418" s="2" t="s">
        <v>510</v>
      </c>
      <c r="D3418" s="2" t="s">
        <v>44</v>
      </c>
      <c r="E3418" s="5">
        <v>-29962</v>
      </c>
      <c r="F3418" s="3" t="s">
        <v>485</v>
      </c>
      <c r="G3418" s="3" t="s">
        <v>77</v>
      </c>
      <c r="H3418" s="2" t="s">
        <v>21</v>
      </c>
      <c r="I3418" s="2" t="s">
        <v>8201</v>
      </c>
      <c r="J3418" s="3" t="str">
        <f>HYPERLINK("https://www.boe.es/gazeta/dias/1817/12/18/pdfs/GMD-1817-151.pdf#page=8","Abrir facsímil")</f>
        <v>Abrir facsímil</v>
      </c>
      <c r="K3418" s="3" t="s">
        <v>23</v>
      </c>
    </row>
    <row r="3419" spans="1:11" ht="42" customHeight="1">
      <c r="A3419" s="2" t="s">
        <v>8202</v>
      </c>
      <c r="B3419" s="2" t="s">
        <v>8203</v>
      </c>
      <c r="C3419" s="2" t="s">
        <v>138</v>
      </c>
      <c r="D3419" s="2" t="s">
        <v>44</v>
      </c>
      <c r="E3419" s="5">
        <v>-29988</v>
      </c>
      <c r="F3419" s="3" t="s">
        <v>569</v>
      </c>
      <c r="G3419" s="3" t="s">
        <v>112</v>
      </c>
      <c r="H3419" s="2" t="s">
        <v>27</v>
      </c>
      <c r="I3419" s="2" t="s">
        <v>8204</v>
      </c>
      <c r="J3419" s="3" t="str">
        <f>HYPERLINK("https://www.boe.es/gazeta/dias/1817/11/22/pdfs/GMD-1817-140.pdf#page=11","Abrir facsímil")</f>
        <v>Abrir facsímil</v>
      </c>
      <c r="K3419" s="3" t="s">
        <v>29</v>
      </c>
    </row>
    <row r="3420" spans="1:11" ht="42" customHeight="1">
      <c r="A3420" s="2" t="s">
        <v>8205</v>
      </c>
      <c r="B3420" s="2" t="s">
        <v>8206</v>
      </c>
      <c r="C3420" s="2" t="s">
        <v>36</v>
      </c>
      <c r="D3420" s="2" t="s">
        <v>37</v>
      </c>
      <c r="E3420" s="5">
        <v>-30174</v>
      </c>
      <c r="F3420" s="3" t="s">
        <v>19</v>
      </c>
      <c r="G3420" s="3" t="s">
        <v>57</v>
      </c>
      <c r="H3420" s="2" t="s">
        <v>21</v>
      </c>
      <c r="I3420" s="2" t="s">
        <v>8207</v>
      </c>
      <c r="J3420" s="3" t="str">
        <f>HYPERLINK("https://www.boe.es/gazeta/dias/1817/05/20/pdfs/GMD-1817-60.pdf#page=6","Abrir facsímil")</f>
        <v>Abrir facsímil</v>
      </c>
      <c r="K3420" s="3" t="s">
        <v>23</v>
      </c>
    </row>
    <row r="3421" spans="1:11" ht="42" customHeight="1">
      <c r="A3421" s="2" t="s">
        <v>8208</v>
      </c>
      <c r="B3421" s="2" t="s">
        <v>8209</v>
      </c>
      <c r="C3421" s="2" t="s">
        <v>17</v>
      </c>
      <c r="D3421" s="2" t="s">
        <v>18</v>
      </c>
      <c r="E3421" s="5">
        <v>-30104</v>
      </c>
      <c r="F3421" s="3" t="s">
        <v>856</v>
      </c>
      <c r="G3421" s="3" t="s">
        <v>1277</v>
      </c>
      <c r="H3421" s="2" t="s">
        <v>21</v>
      </c>
      <c r="I3421" s="2" t="s">
        <v>8210</v>
      </c>
      <c r="J3421" s="3" t="str">
        <f>HYPERLINK("https://www.boe.es/gazeta/dias/1817/07/29/pdfs/GMD-1817-90.pdf#page=8","Abrir facsímil")</f>
        <v>Abrir facsímil</v>
      </c>
      <c r="K3421" s="3" t="s">
        <v>23</v>
      </c>
    </row>
    <row r="3422" spans="1:11" ht="42" customHeight="1">
      <c r="A3422" s="2" t="s">
        <v>8211</v>
      </c>
      <c r="B3422" s="2" t="s">
        <v>8212</v>
      </c>
      <c r="C3422" s="2" t="s">
        <v>17</v>
      </c>
      <c r="D3422" s="2" t="s">
        <v>18</v>
      </c>
      <c r="E3422" s="5">
        <v>-30235</v>
      </c>
      <c r="F3422" s="3" t="s">
        <v>398</v>
      </c>
      <c r="G3422" s="3" t="s">
        <v>20</v>
      </c>
      <c r="H3422" s="2" t="s">
        <v>21</v>
      </c>
      <c r="I3422" s="2" t="s">
        <v>8213</v>
      </c>
      <c r="J3422" s="3" t="str">
        <f>HYPERLINK("https://www.boe.es/gazeta/dias/1817/03/20/pdfs/GMD-1817-34.pdf#page=7","Abrir facsímil")</f>
        <v>Abrir facsímil</v>
      </c>
      <c r="K3422" s="3" t="s">
        <v>23</v>
      </c>
    </row>
    <row r="3423" spans="1:11" ht="42" customHeight="1">
      <c r="A3423" s="2" t="s">
        <v>8211</v>
      </c>
      <c r="B3423" s="2" t="s">
        <v>8212</v>
      </c>
      <c r="C3423" s="2" t="s">
        <v>17</v>
      </c>
      <c r="D3423" s="2" t="s">
        <v>18</v>
      </c>
      <c r="E3423" s="5">
        <v>-30205</v>
      </c>
      <c r="F3423" s="3" t="s">
        <v>139</v>
      </c>
      <c r="G3423" s="3" t="s">
        <v>77</v>
      </c>
      <c r="H3423" s="2" t="s">
        <v>21</v>
      </c>
      <c r="I3423" s="2" t="s">
        <v>8214</v>
      </c>
      <c r="J3423" s="3" t="str">
        <f>HYPERLINK("https://www.boe.es/gazeta/dias/1817/04/19/pdfs/GMD-1817-47.pdf#page=8","Abrir facsímil")</f>
        <v>Abrir facsímil</v>
      </c>
      <c r="K3423" s="3" t="s">
        <v>23</v>
      </c>
    </row>
    <row r="3424" spans="1:11" ht="42" customHeight="1">
      <c r="A3424" s="2" t="s">
        <v>8211</v>
      </c>
      <c r="B3424" s="2" t="s">
        <v>8212</v>
      </c>
      <c r="C3424" s="2" t="s">
        <v>17</v>
      </c>
      <c r="D3424" s="2" t="s">
        <v>18</v>
      </c>
      <c r="E3424" s="5">
        <v>-30193</v>
      </c>
      <c r="F3424" s="3" t="s">
        <v>38</v>
      </c>
      <c r="G3424" s="3" t="s">
        <v>77</v>
      </c>
      <c r="H3424" s="2" t="s">
        <v>21</v>
      </c>
      <c r="I3424" s="2" t="s">
        <v>8215</v>
      </c>
      <c r="J3424" s="3" t="str">
        <f>HYPERLINK("https://www.boe.es/gazeta/dias/1817/05/01/pdfs/GMD-1817-52.pdf#page=8","Abrir facsímil")</f>
        <v>Abrir facsímil</v>
      </c>
      <c r="K3424" s="3" t="s">
        <v>23</v>
      </c>
    </row>
    <row r="3425" spans="1:11" ht="42" customHeight="1">
      <c r="A3425" s="2" t="s">
        <v>8211</v>
      </c>
      <c r="B3425" s="2" t="s">
        <v>8212</v>
      </c>
      <c r="C3425" s="2" t="s">
        <v>36</v>
      </c>
      <c r="D3425" s="2" t="s">
        <v>37</v>
      </c>
      <c r="E3425" s="5">
        <v>-30184</v>
      </c>
      <c r="F3425" s="3" t="s">
        <v>423</v>
      </c>
      <c r="G3425" s="3" t="s">
        <v>77</v>
      </c>
      <c r="H3425" s="2" t="s">
        <v>21</v>
      </c>
      <c r="I3425" s="2" t="s">
        <v>8216</v>
      </c>
      <c r="J3425" s="3" t="str">
        <f>HYPERLINK("https://www.boe.es/gazeta/dias/1817/05/10/pdfs/GMD-1817-56.pdf#page=8","Abrir facsímil")</f>
        <v>Abrir facsímil</v>
      </c>
      <c r="K3425" s="3" t="s">
        <v>23</v>
      </c>
    </row>
    <row r="3426" spans="1:11" ht="42" customHeight="1">
      <c r="A3426" s="2" t="s">
        <v>8211</v>
      </c>
      <c r="B3426" s="2" t="s">
        <v>8212</v>
      </c>
      <c r="C3426" s="2" t="s">
        <v>17</v>
      </c>
      <c r="D3426" s="2" t="s">
        <v>18</v>
      </c>
      <c r="E3426" s="5">
        <v>-30158</v>
      </c>
      <c r="F3426" s="3" t="s">
        <v>305</v>
      </c>
      <c r="G3426" s="3" t="s">
        <v>77</v>
      </c>
      <c r="H3426" s="2" t="s">
        <v>21</v>
      </c>
      <c r="I3426" s="2" t="s">
        <v>8217</v>
      </c>
      <c r="J3426" s="3" t="str">
        <f>HYPERLINK("https://www.boe.es/gazeta/dias/1817/06/05/pdfs/GMD-1817-67.pdf#page=8","Abrir facsímil")</f>
        <v>Abrir facsímil</v>
      </c>
      <c r="K3426" s="3" t="s">
        <v>23</v>
      </c>
    </row>
    <row r="3427" spans="1:11" ht="42" customHeight="1">
      <c r="A3427" s="2" t="s">
        <v>8211</v>
      </c>
      <c r="B3427" s="2" t="s">
        <v>8212</v>
      </c>
      <c r="C3427" s="2" t="s">
        <v>17</v>
      </c>
      <c r="D3427" s="2" t="s">
        <v>18</v>
      </c>
      <c r="E3427" s="5">
        <v>-30156</v>
      </c>
      <c r="F3427" s="3" t="s">
        <v>635</v>
      </c>
      <c r="G3427" s="3" t="s">
        <v>77</v>
      </c>
      <c r="H3427" s="2" t="s">
        <v>21</v>
      </c>
      <c r="I3427" s="2" t="s">
        <v>8218</v>
      </c>
      <c r="J3427" s="3" t="str">
        <f>HYPERLINK("https://www.boe.es/gazeta/dias/1817/06/07/pdfs/GMD-1817-68.pdf#page=8","Abrir facsímil")</f>
        <v>Abrir facsímil</v>
      </c>
      <c r="K3427" s="3" t="s">
        <v>23</v>
      </c>
    </row>
    <row r="3428" spans="1:11" ht="42" customHeight="1">
      <c r="A3428" s="2" t="s">
        <v>8211</v>
      </c>
      <c r="B3428" s="2" t="s">
        <v>8212</v>
      </c>
      <c r="C3428" s="2" t="s">
        <v>36</v>
      </c>
      <c r="D3428" s="2" t="s">
        <v>37</v>
      </c>
      <c r="E3428" s="5">
        <v>-29964</v>
      </c>
      <c r="F3428" s="3" t="s">
        <v>482</v>
      </c>
      <c r="G3428" s="3" t="s">
        <v>483</v>
      </c>
      <c r="H3428" s="2" t="s">
        <v>21</v>
      </c>
      <c r="I3428" s="2" t="s">
        <v>8219</v>
      </c>
      <c r="J3428" s="3" t="str">
        <f>HYPERLINK("https://www.boe.es/gazeta/dias/1817/12/16/pdfs/GMD-1817-150.pdf#page=12","Abrir facsímil")</f>
        <v>Abrir facsímil</v>
      </c>
      <c r="K3428" s="3" t="s">
        <v>23</v>
      </c>
    </row>
    <row r="3429" spans="1:11" ht="42" customHeight="1">
      <c r="A3429" s="2" t="s">
        <v>8211</v>
      </c>
      <c r="B3429" s="2" t="s">
        <v>8212</v>
      </c>
      <c r="C3429" s="2" t="s">
        <v>97</v>
      </c>
      <c r="D3429" s="2" t="s">
        <v>44</v>
      </c>
      <c r="E3429" s="5">
        <v>-29962</v>
      </c>
      <c r="F3429" s="3" t="s">
        <v>485</v>
      </c>
      <c r="G3429" s="3" t="s">
        <v>77</v>
      </c>
      <c r="H3429" s="2" t="s">
        <v>21</v>
      </c>
      <c r="I3429" s="2" t="s">
        <v>8220</v>
      </c>
      <c r="J3429" s="3" t="str">
        <f>HYPERLINK("https://www.boe.es/gazeta/dias/1817/12/18/pdfs/GMD-1817-151.pdf#page=8","Abrir facsímil")</f>
        <v>Abrir facsímil</v>
      </c>
      <c r="K3429" s="3" t="s">
        <v>23</v>
      </c>
    </row>
    <row r="3430" spans="1:11" ht="42" customHeight="1">
      <c r="A3430" s="2" t="s">
        <v>8221</v>
      </c>
      <c r="B3430" s="2" t="s">
        <v>8222</v>
      </c>
      <c r="C3430" s="2" t="s">
        <v>36</v>
      </c>
      <c r="D3430" s="2" t="s">
        <v>37</v>
      </c>
      <c r="E3430" s="5">
        <v>-30151</v>
      </c>
      <c r="F3430" s="3" t="s">
        <v>1422</v>
      </c>
      <c r="G3430" s="3" t="s">
        <v>39</v>
      </c>
      <c r="H3430" s="2" t="s">
        <v>21</v>
      </c>
      <c r="I3430" s="2" t="s">
        <v>8223</v>
      </c>
      <c r="J3430" s="3" t="str">
        <f>HYPERLINK("https://www.boe.es/gazeta/dias/1817/06/12/pdfs/GMD-1817-70.pdf#page=5","Abrir facsímil")</f>
        <v>Abrir facsímil</v>
      </c>
      <c r="K3430" s="3" t="s">
        <v>23</v>
      </c>
    </row>
    <row r="3431" spans="1:11" ht="42" customHeight="1">
      <c r="A3431" s="2" t="s">
        <v>8224</v>
      </c>
      <c r="B3431" s="2" t="s">
        <v>8225</v>
      </c>
      <c r="C3431" s="2" t="s">
        <v>36</v>
      </c>
      <c r="D3431" s="2" t="s">
        <v>37</v>
      </c>
      <c r="E3431" s="5">
        <v>-30104</v>
      </c>
      <c r="F3431" s="3" t="s">
        <v>856</v>
      </c>
      <c r="G3431" s="3" t="s">
        <v>20</v>
      </c>
      <c r="H3431" s="2" t="s">
        <v>21</v>
      </c>
      <c r="I3431" s="2" t="s">
        <v>8226</v>
      </c>
      <c r="J3431" s="3" t="str">
        <f>HYPERLINK("https://www.boe.es/gazeta/dias/1817/07/29/pdfs/GMD-1817-90.pdf#page=7","Abrir facsímil")</f>
        <v>Abrir facsímil</v>
      </c>
      <c r="K3431" s="3" t="s">
        <v>23</v>
      </c>
    </row>
    <row r="3432" spans="1:11" ht="42" customHeight="1">
      <c r="A3432" s="2" t="s">
        <v>8227</v>
      </c>
      <c r="B3432" s="2" t="s">
        <v>8228</v>
      </c>
      <c r="C3432" s="2" t="s">
        <v>55</v>
      </c>
      <c r="D3432" s="2" t="s">
        <v>44</v>
      </c>
      <c r="E3432" s="5">
        <v>-30097</v>
      </c>
      <c r="F3432" s="3" t="s">
        <v>156</v>
      </c>
      <c r="G3432" s="3" t="s">
        <v>157</v>
      </c>
      <c r="H3432" s="2" t="s">
        <v>27</v>
      </c>
      <c r="I3432" s="2" t="s">
        <v>8229</v>
      </c>
      <c r="J3432" s="3" t="str">
        <f>HYPERLINK("https://www.boe.es/gazeta/dias/1817/08/05/pdfs/GMD-1817-93.pdf#page=5","Abrir facsímil")</f>
        <v>Abrir facsímil</v>
      </c>
      <c r="K3432" s="3" t="s">
        <v>29</v>
      </c>
    </row>
    <row r="3433" spans="1:11" ht="42" customHeight="1">
      <c r="A3433" s="2" t="s">
        <v>8230</v>
      </c>
      <c r="B3433" s="2" t="s">
        <v>8231</v>
      </c>
      <c r="C3433" s="2" t="s">
        <v>55</v>
      </c>
      <c r="D3433" s="2" t="s">
        <v>44</v>
      </c>
      <c r="E3433" s="5">
        <v>-30086</v>
      </c>
      <c r="F3433" s="3" t="s">
        <v>221</v>
      </c>
      <c r="G3433" s="3" t="s">
        <v>144</v>
      </c>
      <c r="H3433" s="2" t="s">
        <v>21</v>
      </c>
      <c r="I3433" s="2" t="s">
        <v>8232</v>
      </c>
      <c r="J3433" s="3" t="str">
        <f>HYPERLINK("https://www.boe.es/gazeta/dias/1817/08/16/pdfs/GMD-1817-98.pdf#page=4","Abrir facsímil")</f>
        <v>Abrir facsímil</v>
      </c>
      <c r="K3433" s="3" t="s">
        <v>23</v>
      </c>
    </row>
    <row r="3434" spans="1:11" ht="42" customHeight="1">
      <c r="A3434" s="2" t="s">
        <v>8233</v>
      </c>
      <c r="B3434" s="2" t="s">
        <v>8234</v>
      </c>
      <c r="C3434" s="2" t="s">
        <v>36</v>
      </c>
      <c r="D3434" s="2" t="s">
        <v>37</v>
      </c>
      <c r="E3434" s="5">
        <v>-30235</v>
      </c>
      <c r="F3434" s="3" t="s">
        <v>398</v>
      </c>
      <c r="G3434" s="3" t="s">
        <v>20</v>
      </c>
      <c r="H3434" s="2" t="s">
        <v>21</v>
      </c>
      <c r="I3434" s="2" t="s">
        <v>8235</v>
      </c>
      <c r="J3434" s="3" t="str">
        <f>HYPERLINK("https://www.boe.es/gazeta/dias/1817/03/20/pdfs/GMD-1817-34.pdf#page=7","Abrir facsímil")</f>
        <v>Abrir facsímil</v>
      </c>
      <c r="K3434" s="3" t="s">
        <v>23</v>
      </c>
    </row>
    <row r="3435" spans="1:11" ht="42" customHeight="1">
      <c r="A3435" s="2" t="s">
        <v>8233</v>
      </c>
      <c r="B3435" s="2" t="s">
        <v>8234</v>
      </c>
      <c r="C3435" s="2" t="s">
        <v>36</v>
      </c>
      <c r="D3435" s="2" t="s">
        <v>37</v>
      </c>
      <c r="E3435" s="5">
        <v>-30100</v>
      </c>
      <c r="F3435" s="3" t="s">
        <v>436</v>
      </c>
      <c r="G3435" s="3" t="s">
        <v>20</v>
      </c>
      <c r="H3435" s="2" t="s">
        <v>21</v>
      </c>
      <c r="I3435" s="2" t="s">
        <v>8236</v>
      </c>
      <c r="J3435" s="3" t="str">
        <f>HYPERLINK("https://www.boe.es/gazeta/dias/1817/08/02/pdfs/GMD-1817-92.pdf#page=7","Abrir facsímil")</f>
        <v>Abrir facsímil</v>
      </c>
      <c r="K3435" s="3" t="s">
        <v>23</v>
      </c>
    </row>
    <row r="3436" spans="1:11" ht="42" customHeight="1">
      <c r="A3436" s="2" t="s">
        <v>8237</v>
      </c>
      <c r="B3436" s="2" t="s">
        <v>8238</v>
      </c>
      <c r="C3436" s="2" t="s">
        <v>36</v>
      </c>
      <c r="D3436" s="2" t="s">
        <v>37</v>
      </c>
      <c r="E3436" s="5">
        <v>-29985</v>
      </c>
      <c r="F3436" s="3" t="s">
        <v>76</v>
      </c>
      <c r="G3436" s="3" t="s">
        <v>77</v>
      </c>
      <c r="H3436" s="2" t="s">
        <v>21</v>
      </c>
      <c r="I3436" s="2" t="s">
        <v>8239</v>
      </c>
      <c r="J3436" s="3" t="str">
        <f>HYPERLINK("https://www.boe.es/gazeta/dias/1817/11/25/pdfs/GMD-1817-141.pdf#page=8","Abrir facsímil")</f>
        <v>Abrir facsímil</v>
      </c>
      <c r="K3436" s="3" t="s">
        <v>23</v>
      </c>
    </row>
    <row r="3437" spans="1:11" ht="42" customHeight="1">
      <c r="A3437" s="2" t="s">
        <v>8240</v>
      </c>
      <c r="B3437" s="2" t="s">
        <v>8241</v>
      </c>
      <c r="C3437" s="2" t="s">
        <v>17</v>
      </c>
      <c r="D3437" s="2" t="s">
        <v>18</v>
      </c>
      <c r="E3437" s="5">
        <v>-30041</v>
      </c>
      <c r="F3437" s="3" t="s">
        <v>260</v>
      </c>
      <c r="G3437" s="3" t="s">
        <v>20</v>
      </c>
      <c r="H3437" s="2" t="s">
        <v>21</v>
      </c>
      <c r="I3437" s="2" t="s">
        <v>8242</v>
      </c>
      <c r="J3437" s="3" t="str">
        <f>HYPERLINK("https://www.boe.es/gazeta/dias/1817/09/30/pdfs/GMD-1817-117.pdf#page=7","Abrir facsímil")</f>
        <v>Abrir facsímil</v>
      </c>
      <c r="K3437" s="3" t="s">
        <v>23</v>
      </c>
    </row>
    <row r="3438" spans="1:11" ht="42" customHeight="1">
      <c r="A3438" s="2" t="s">
        <v>8243</v>
      </c>
      <c r="B3438" s="2" t="s">
        <v>8244</v>
      </c>
      <c r="C3438" s="2" t="s">
        <v>36</v>
      </c>
      <c r="D3438" s="2" t="s">
        <v>37</v>
      </c>
      <c r="E3438" s="5">
        <v>-30188</v>
      </c>
      <c r="F3438" s="3" t="s">
        <v>177</v>
      </c>
      <c r="G3438" s="3" t="s">
        <v>551</v>
      </c>
      <c r="H3438" s="2" t="s">
        <v>21</v>
      </c>
      <c r="I3438" s="2" t="s">
        <v>8245</v>
      </c>
      <c r="J3438" s="3" t="str">
        <f>HYPERLINK("https://www.boe.es/gazeta/dias/1817/05/06/pdfs/GMD-1817-54.pdf#page=3","Abrir facsímil")</f>
        <v>Abrir facsímil</v>
      </c>
      <c r="K3438" s="3" t="s">
        <v>23</v>
      </c>
    </row>
    <row r="3439" spans="1:11" ht="42" customHeight="1">
      <c r="A3439" s="2" t="s">
        <v>8243</v>
      </c>
      <c r="B3439" s="2" t="s">
        <v>8244</v>
      </c>
      <c r="C3439" s="2" t="s">
        <v>36</v>
      </c>
      <c r="D3439" s="2" t="s">
        <v>37</v>
      </c>
      <c r="E3439" s="5">
        <v>-30118</v>
      </c>
      <c r="F3439" s="3" t="s">
        <v>432</v>
      </c>
      <c r="G3439" s="3" t="s">
        <v>648</v>
      </c>
      <c r="H3439" s="2" t="s">
        <v>21</v>
      </c>
      <c r="I3439" s="2" t="s">
        <v>8246</v>
      </c>
      <c r="J3439" s="3" t="str">
        <f>HYPERLINK("https://www.boe.es/gazeta/dias/1817/07/15/pdfs/GMD-1817-84.pdf#page=4","Abrir facsímil")</f>
        <v>Abrir facsímil</v>
      </c>
      <c r="K3439" s="3" t="s">
        <v>23</v>
      </c>
    </row>
    <row r="3440" spans="1:11" ht="42" customHeight="1">
      <c r="A3440" s="2" t="s">
        <v>8243</v>
      </c>
      <c r="B3440" s="2" t="s">
        <v>8244</v>
      </c>
      <c r="C3440" s="2" t="s">
        <v>36</v>
      </c>
      <c r="D3440" s="2" t="s">
        <v>37</v>
      </c>
      <c r="E3440" s="5">
        <v>-30118</v>
      </c>
      <c r="F3440" s="3" t="s">
        <v>432</v>
      </c>
      <c r="G3440" s="3" t="s">
        <v>39</v>
      </c>
      <c r="H3440" s="2" t="s">
        <v>21</v>
      </c>
      <c r="I3440" s="2" t="s">
        <v>8247</v>
      </c>
      <c r="J3440" s="3" t="str">
        <f>HYPERLINK("https://www.boe.es/gazeta/dias/1817/07/15/pdfs/GMD-1817-84.pdf#page=5","Abrir facsímil")</f>
        <v>Abrir facsímil</v>
      </c>
      <c r="K3440" s="3" t="s">
        <v>23</v>
      </c>
    </row>
    <row r="3441" spans="1:11" ht="42" customHeight="1">
      <c r="A3441" s="2" t="s">
        <v>8243</v>
      </c>
      <c r="B3441" s="2" t="s">
        <v>8244</v>
      </c>
      <c r="C3441" s="2" t="s">
        <v>36</v>
      </c>
      <c r="D3441" s="2" t="s">
        <v>37</v>
      </c>
      <c r="E3441" s="5">
        <v>-30006</v>
      </c>
      <c r="F3441" s="3" t="s">
        <v>210</v>
      </c>
      <c r="G3441" s="3" t="s">
        <v>39</v>
      </c>
      <c r="H3441" s="2" t="s">
        <v>21</v>
      </c>
      <c r="I3441" s="2" t="s">
        <v>8248</v>
      </c>
      <c r="J3441" s="3" t="str">
        <f>HYPERLINK("https://www.boe.es/gazeta/dias/1817/11/04/pdfs/GMD-1817-132.pdf#page=5","Abrir facsímil")</f>
        <v>Abrir facsímil</v>
      </c>
      <c r="K3441" s="3" t="s">
        <v>23</v>
      </c>
    </row>
    <row r="3442" spans="1:11" ht="42" customHeight="1">
      <c r="A3442" s="2" t="s">
        <v>8243</v>
      </c>
      <c r="B3442" s="2" t="s">
        <v>8244</v>
      </c>
      <c r="C3442" s="2" t="s">
        <v>36</v>
      </c>
      <c r="D3442" s="2" t="s">
        <v>37</v>
      </c>
      <c r="E3442" s="5">
        <v>-29985</v>
      </c>
      <c r="F3442" s="3" t="s">
        <v>76</v>
      </c>
      <c r="G3442" s="3" t="s">
        <v>144</v>
      </c>
      <c r="H3442" s="2" t="s">
        <v>21</v>
      </c>
      <c r="I3442" s="2" t="s">
        <v>8249</v>
      </c>
      <c r="J3442" s="3" t="str">
        <f>HYPERLINK("https://www.boe.es/gazeta/dias/1817/11/25/pdfs/GMD-1817-141.pdf#page=4","Abrir facsímil")</f>
        <v>Abrir facsímil</v>
      </c>
      <c r="K3442" s="3" t="s">
        <v>23</v>
      </c>
    </row>
    <row r="3443" spans="1:11" ht="42" customHeight="1">
      <c r="A3443" s="2" t="s">
        <v>8250</v>
      </c>
      <c r="B3443" s="2" t="s">
        <v>8250</v>
      </c>
      <c r="C3443" s="2" t="s">
        <v>43</v>
      </c>
      <c r="D3443" s="2" t="s">
        <v>44</v>
      </c>
      <c r="E3443" s="5">
        <v>-30109</v>
      </c>
      <c r="F3443" s="3" t="s">
        <v>205</v>
      </c>
      <c r="G3443" s="3" t="s">
        <v>887</v>
      </c>
      <c r="H3443" s="2" t="s">
        <v>21</v>
      </c>
      <c r="I3443" s="2" t="s">
        <v>8251</v>
      </c>
      <c r="J3443" s="3" t="str">
        <f>HYPERLINK("https://www.boe.es/gazeta/dias/1817/07/24/pdfs/GMD-1817-88.pdf#page=9","Abrir facsímil")</f>
        <v>Abrir facsímil</v>
      </c>
      <c r="K3443" s="3" t="s">
        <v>23</v>
      </c>
    </row>
    <row r="3444" spans="1:11" ht="42" customHeight="1">
      <c r="A3444" s="2" t="s">
        <v>8252</v>
      </c>
      <c r="B3444" s="2" t="s">
        <v>8253</v>
      </c>
      <c r="C3444" s="2" t="s">
        <v>17</v>
      </c>
      <c r="D3444" s="2" t="s">
        <v>18</v>
      </c>
      <c r="E3444" s="5">
        <v>-30179</v>
      </c>
      <c r="F3444" s="3" t="s">
        <v>391</v>
      </c>
      <c r="G3444" s="3" t="s">
        <v>20</v>
      </c>
      <c r="H3444" s="2" t="s">
        <v>21</v>
      </c>
      <c r="I3444" s="2" t="s">
        <v>8254</v>
      </c>
      <c r="J3444" s="3" t="str">
        <f>HYPERLINK("https://www.boe.es/gazeta/dias/1817/05/15/pdfs/GMD-1817-58.pdf#page=7","Abrir facsímil")</f>
        <v>Abrir facsímil</v>
      </c>
      <c r="K3444" s="3" t="s">
        <v>23</v>
      </c>
    </row>
    <row r="3445" spans="1:11" ht="42" customHeight="1">
      <c r="A3445" s="2" t="s">
        <v>8255</v>
      </c>
      <c r="B3445" s="2" t="s">
        <v>8256</v>
      </c>
      <c r="C3445" s="2" t="s">
        <v>17</v>
      </c>
      <c r="D3445" s="2" t="s">
        <v>18</v>
      </c>
      <c r="E3445" s="5">
        <v>-30058</v>
      </c>
      <c r="F3445" s="3" t="s">
        <v>1385</v>
      </c>
      <c r="G3445" s="3" t="s">
        <v>5537</v>
      </c>
      <c r="H3445" s="2" t="s">
        <v>21</v>
      </c>
      <c r="I3445" s="2" t="s">
        <v>8257</v>
      </c>
      <c r="J3445" s="3" t="str">
        <f>HYPERLINK("https://www.boe.es/gazeta/dias/1817/09/13/pdfs/GMD-1817-110.pdf#page=5","Abrir facsímil")</f>
        <v>Abrir facsímil</v>
      </c>
      <c r="K3445" s="3" t="s">
        <v>23</v>
      </c>
    </row>
    <row r="3446" spans="1:11" ht="42" customHeight="1">
      <c r="A3446" s="2" t="s">
        <v>8258</v>
      </c>
      <c r="B3446" s="2" t="s">
        <v>8258</v>
      </c>
      <c r="C3446" s="2" t="s">
        <v>17</v>
      </c>
      <c r="D3446" s="2" t="s">
        <v>18</v>
      </c>
      <c r="E3446" s="5">
        <v>-30272</v>
      </c>
      <c r="F3446" s="3" t="s">
        <v>493</v>
      </c>
      <c r="G3446" s="3" t="s">
        <v>77</v>
      </c>
      <c r="H3446" s="2" t="s">
        <v>21</v>
      </c>
      <c r="I3446" s="2" t="s">
        <v>8259</v>
      </c>
      <c r="J3446" s="3" t="str">
        <f>HYPERLINK("https://www.boe.es/gazeta/dias/1817/02/11/pdfs/GMD-1817-18.pdf#page=8","Abrir facsímil")</f>
        <v>Abrir facsímil</v>
      </c>
      <c r="K3446" s="3" t="s">
        <v>23</v>
      </c>
    </row>
    <row r="3447" spans="1:11" ht="42" customHeight="1">
      <c r="A3447" s="2" t="s">
        <v>8260</v>
      </c>
      <c r="B3447" s="2" t="s">
        <v>8261</v>
      </c>
      <c r="C3447" s="2" t="s">
        <v>17</v>
      </c>
      <c r="D3447" s="2" t="s">
        <v>18</v>
      </c>
      <c r="E3447" s="5">
        <v>-30016</v>
      </c>
      <c r="F3447" s="3" t="s">
        <v>2582</v>
      </c>
      <c r="G3447" s="3" t="s">
        <v>39</v>
      </c>
      <c r="H3447" s="2" t="s">
        <v>21</v>
      </c>
      <c r="I3447" s="2" t="s">
        <v>8262</v>
      </c>
      <c r="J3447" s="3" t="str">
        <f>HYPERLINK("https://www.boe.es/gazeta/dias/1817/10/25/pdfs/GMD-1817-128.pdf#page=5","Abrir facsímil")</f>
        <v>Abrir facsímil</v>
      </c>
      <c r="K3447" s="3" t="s">
        <v>23</v>
      </c>
    </row>
    <row r="3448" spans="1:11" ht="42" customHeight="1">
      <c r="A3448" s="2" t="s">
        <v>8263</v>
      </c>
      <c r="B3448" s="2" t="s">
        <v>8264</v>
      </c>
      <c r="C3448" s="2" t="s">
        <v>43</v>
      </c>
      <c r="D3448" s="2" t="s">
        <v>44</v>
      </c>
      <c r="E3448" s="5">
        <v>-30261</v>
      </c>
      <c r="F3448" s="3" t="s">
        <v>226</v>
      </c>
      <c r="G3448" s="3" t="s">
        <v>39</v>
      </c>
      <c r="H3448" s="2" t="s">
        <v>21</v>
      </c>
      <c r="I3448" s="2" t="s">
        <v>8265</v>
      </c>
      <c r="J3448" s="3" t="str">
        <f>HYPERLINK("https://www.boe.es/gazeta/dias/1817/02/22/pdfs/GMD-1817-23.pdf#page=5","Abrir facsímil")</f>
        <v>Abrir facsímil</v>
      </c>
      <c r="K3448" s="3" t="s">
        <v>23</v>
      </c>
    </row>
    <row r="3449" spans="1:11" ht="42" customHeight="1">
      <c r="A3449" s="2" t="s">
        <v>8266</v>
      </c>
      <c r="B3449" s="2" t="s">
        <v>8267</v>
      </c>
      <c r="C3449" s="2" t="s">
        <v>17</v>
      </c>
      <c r="D3449" s="2" t="s">
        <v>18</v>
      </c>
      <c r="E3449" s="5">
        <v>-30116</v>
      </c>
      <c r="F3449" s="3" t="s">
        <v>319</v>
      </c>
      <c r="G3449" s="3" t="s">
        <v>20</v>
      </c>
      <c r="H3449" s="2" t="s">
        <v>21</v>
      </c>
      <c r="I3449" s="2" t="s">
        <v>8268</v>
      </c>
      <c r="J3449" s="3" t="str">
        <f>HYPERLINK("https://www.boe.es/gazeta/dias/1817/07/17/pdfs/GMD-1817-85.pdf#page=7","Abrir facsímil")</f>
        <v>Abrir facsímil</v>
      </c>
      <c r="K3449" s="3" t="s">
        <v>23</v>
      </c>
    </row>
    <row r="3450" spans="1:11" ht="42" customHeight="1">
      <c r="A3450" s="2" t="s">
        <v>8269</v>
      </c>
      <c r="B3450" s="2" t="s">
        <v>8270</v>
      </c>
      <c r="C3450" s="2" t="s">
        <v>43</v>
      </c>
      <c r="D3450" s="2" t="s">
        <v>44</v>
      </c>
      <c r="E3450" s="5">
        <v>-30027</v>
      </c>
      <c r="F3450" s="3" t="s">
        <v>173</v>
      </c>
      <c r="G3450" s="3" t="s">
        <v>77</v>
      </c>
      <c r="H3450" s="2" t="s">
        <v>21</v>
      </c>
      <c r="I3450" s="2" t="s">
        <v>8271</v>
      </c>
      <c r="J3450" s="3" t="str">
        <f>HYPERLINK("https://www.boe.es/gazeta/dias/1817/10/14/pdfs/GMD-1817-123.pdf#page=8","Abrir facsímil")</f>
        <v>Abrir facsímil</v>
      </c>
      <c r="K3450" s="3" t="s">
        <v>23</v>
      </c>
    </row>
    <row r="3451" spans="1:11" ht="42" customHeight="1">
      <c r="A3451" s="2" t="s">
        <v>8272</v>
      </c>
      <c r="B3451" s="2" t="s">
        <v>8273</v>
      </c>
      <c r="C3451" s="2" t="s">
        <v>36</v>
      </c>
      <c r="D3451" s="2" t="s">
        <v>37</v>
      </c>
      <c r="E3451" s="5">
        <v>-30046</v>
      </c>
      <c r="F3451" s="3" t="s">
        <v>214</v>
      </c>
      <c r="G3451" s="3" t="s">
        <v>275</v>
      </c>
      <c r="H3451" s="2" t="s">
        <v>21</v>
      </c>
      <c r="I3451" s="2" t="s">
        <v>8274</v>
      </c>
      <c r="J3451" s="3" t="str">
        <f>HYPERLINK("https://www.boe.es/gazeta/dias/1817/09/25/pdfs/GMD-1817-115.pdf#page=12","Abrir facsímil")</f>
        <v>Abrir facsímil</v>
      </c>
      <c r="K3451" s="3" t="s">
        <v>23</v>
      </c>
    </row>
    <row r="3452" spans="1:11" ht="42" customHeight="1">
      <c r="A3452" s="2" t="s">
        <v>8275</v>
      </c>
      <c r="B3452" s="2" t="s">
        <v>8276</v>
      </c>
      <c r="C3452" s="2" t="s">
        <v>138</v>
      </c>
      <c r="D3452" s="2" t="s">
        <v>44</v>
      </c>
      <c r="E3452" s="5">
        <v>-30006</v>
      </c>
      <c r="F3452" s="3" t="s">
        <v>210</v>
      </c>
      <c r="G3452" s="3" t="s">
        <v>77</v>
      </c>
      <c r="H3452" s="2" t="s">
        <v>21</v>
      </c>
      <c r="I3452" s="2" t="s">
        <v>8277</v>
      </c>
      <c r="J3452" s="3" t="str">
        <f>HYPERLINK("https://www.boe.es/gazeta/dias/1817/11/04/pdfs/GMD-1817-132.pdf#page=8","Abrir facsímil")</f>
        <v>Abrir facsímil</v>
      </c>
      <c r="K3452" s="3" t="s">
        <v>23</v>
      </c>
    </row>
    <row r="3453" spans="1:11" ht="42" customHeight="1">
      <c r="A3453" s="2" t="s">
        <v>8278</v>
      </c>
      <c r="B3453" s="2" t="s">
        <v>8279</v>
      </c>
      <c r="C3453" s="2" t="s">
        <v>17</v>
      </c>
      <c r="D3453" s="2" t="s">
        <v>18</v>
      </c>
      <c r="E3453" s="5">
        <v>-30114</v>
      </c>
      <c r="F3453" s="3" t="s">
        <v>500</v>
      </c>
      <c r="G3453" s="3" t="s">
        <v>20</v>
      </c>
      <c r="H3453" s="2" t="s">
        <v>21</v>
      </c>
      <c r="I3453" s="2" t="s">
        <v>8280</v>
      </c>
      <c r="J3453" s="3" t="str">
        <f>HYPERLINK("https://www.boe.es/gazeta/dias/1817/07/19/pdfs/GMD-1817-86.pdf#page=7","Abrir facsímil")</f>
        <v>Abrir facsímil</v>
      </c>
      <c r="K3453" s="3" t="s">
        <v>23</v>
      </c>
    </row>
    <row r="3454" spans="1:11" ht="42" customHeight="1">
      <c r="A3454" s="2" t="s">
        <v>8281</v>
      </c>
      <c r="B3454" s="2" t="s">
        <v>8281</v>
      </c>
      <c r="C3454" s="2" t="s">
        <v>36</v>
      </c>
      <c r="D3454" s="2" t="s">
        <v>37</v>
      </c>
      <c r="E3454" s="5">
        <v>-30034</v>
      </c>
      <c r="F3454" s="3" t="s">
        <v>270</v>
      </c>
      <c r="G3454" s="3" t="s">
        <v>39</v>
      </c>
      <c r="H3454" s="2" t="s">
        <v>21</v>
      </c>
      <c r="I3454" s="2" t="s">
        <v>8282</v>
      </c>
      <c r="J3454" s="3" t="str">
        <f>HYPERLINK("https://www.boe.es/gazeta/dias/1817/10/07/pdfs/GMD-1817-120.pdf#page=5","Abrir facsímil")</f>
        <v>Abrir facsímil</v>
      </c>
      <c r="K3454" s="3" t="s">
        <v>23</v>
      </c>
    </row>
    <row r="3455" spans="1:11" ht="42" customHeight="1">
      <c r="A3455" s="2" t="s">
        <v>8283</v>
      </c>
      <c r="B3455" s="2" t="s">
        <v>8284</v>
      </c>
      <c r="C3455" s="2" t="s">
        <v>43</v>
      </c>
      <c r="D3455" s="2" t="s">
        <v>44</v>
      </c>
      <c r="E3455" s="5">
        <v>-29981</v>
      </c>
      <c r="F3455" s="3" t="s">
        <v>111</v>
      </c>
      <c r="G3455" s="3" t="s">
        <v>112</v>
      </c>
      <c r="H3455" s="2" t="s">
        <v>21</v>
      </c>
      <c r="I3455" s="2" t="s">
        <v>8285</v>
      </c>
      <c r="J3455" s="3" t="str">
        <f>HYPERLINK("https://www.boe.es/gazeta/dias/1817/11/29/pdfs/GMD-1817-143.pdf#page=11","Abrir facsímil")</f>
        <v>Abrir facsímil</v>
      </c>
      <c r="K3455" s="3" t="s">
        <v>23</v>
      </c>
    </row>
    <row r="3456" spans="1:11" ht="42" customHeight="1">
      <c r="A3456" s="2" t="s">
        <v>8286</v>
      </c>
      <c r="B3456" s="2" t="s">
        <v>8287</v>
      </c>
      <c r="C3456" s="2" t="s">
        <v>36</v>
      </c>
      <c r="D3456" s="2" t="s">
        <v>37</v>
      </c>
      <c r="E3456" s="5">
        <v>-29983</v>
      </c>
      <c r="F3456" s="3" t="s">
        <v>148</v>
      </c>
      <c r="G3456" s="3" t="s">
        <v>551</v>
      </c>
      <c r="H3456" s="2" t="s">
        <v>21</v>
      </c>
      <c r="I3456" s="2" t="s">
        <v>8288</v>
      </c>
      <c r="J3456" s="3" t="str">
        <f>HYPERLINK("https://www.boe.es/gazeta/dias/1817/11/27/pdfs/GMD-1817-142.pdf#page=3","Abrir facsímil")</f>
        <v>Abrir facsímil</v>
      </c>
      <c r="K3456" s="3" t="s">
        <v>23</v>
      </c>
    </row>
    <row r="3457" spans="1:11" ht="42" customHeight="1">
      <c r="A3457" s="2" t="s">
        <v>8289</v>
      </c>
      <c r="B3457" s="2" t="s">
        <v>8290</v>
      </c>
      <c r="C3457" s="2" t="s">
        <v>36</v>
      </c>
      <c r="D3457" s="2" t="s">
        <v>37</v>
      </c>
      <c r="E3457" s="5">
        <v>-30034</v>
      </c>
      <c r="F3457" s="3" t="s">
        <v>270</v>
      </c>
      <c r="G3457" s="3" t="s">
        <v>20</v>
      </c>
      <c r="H3457" s="2" t="s">
        <v>21</v>
      </c>
      <c r="I3457" s="2" t="s">
        <v>8291</v>
      </c>
      <c r="J3457" s="3" t="str">
        <f>HYPERLINK("https://www.boe.es/gazeta/dias/1817/10/07/pdfs/GMD-1817-120.pdf#page=7","Abrir facsímil")</f>
        <v>Abrir facsímil</v>
      </c>
      <c r="K3457" s="3" t="s">
        <v>23</v>
      </c>
    </row>
    <row r="3458" spans="1:11" ht="42" customHeight="1">
      <c r="A3458" s="2" t="s">
        <v>8292</v>
      </c>
      <c r="B3458" s="2" t="s">
        <v>8293</v>
      </c>
      <c r="C3458" s="2" t="s">
        <v>36</v>
      </c>
      <c r="D3458" s="2" t="s">
        <v>37</v>
      </c>
      <c r="E3458" s="5">
        <v>-30034</v>
      </c>
      <c r="F3458" s="3" t="s">
        <v>270</v>
      </c>
      <c r="G3458" s="3" t="s">
        <v>20</v>
      </c>
      <c r="H3458" s="2" t="s">
        <v>21</v>
      </c>
      <c r="I3458" s="2" t="s">
        <v>8294</v>
      </c>
      <c r="J3458" s="3" t="str">
        <f>HYPERLINK("https://www.boe.es/gazeta/dias/1817/10/07/pdfs/GMD-1817-120.pdf#page=7","Abrir facsímil")</f>
        <v>Abrir facsímil</v>
      </c>
      <c r="K3458" s="3" t="s">
        <v>23</v>
      </c>
    </row>
    <row r="3459" spans="1:11" ht="42" customHeight="1">
      <c r="A3459" s="2" t="s">
        <v>8295</v>
      </c>
      <c r="B3459" s="2" t="s">
        <v>8296</v>
      </c>
      <c r="C3459" s="2" t="s">
        <v>36</v>
      </c>
      <c r="D3459" s="2" t="s">
        <v>37</v>
      </c>
      <c r="E3459" s="5">
        <v>-30261</v>
      </c>
      <c r="F3459" s="3" t="s">
        <v>226</v>
      </c>
      <c r="G3459" s="3" t="s">
        <v>57</v>
      </c>
      <c r="H3459" s="2" t="s">
        <v>21</v>
      </c>
      <c r="I3459" s="2" t="s">
        <v>8297</v>
      </c>
      <c r="J3459" s="3" t="str">
        <f>HYPERLINK("https://www.boe.es/gazeta/dias/1817/02/22/pdfs/GMD-1817-23.pdf#page=6","Abrir facsímil")</f>
        <v>Abrir facsímil</v>
      </c>
      <c r="K3459" s="3" t="s">
        <v>23</v>
      </c>
    </row>
    <row r="3460" spans="1:11" ht="42" customHeight="1">
      <c r="A3460" s="2" t="s">
        <v>8298</v>
      </c>
      <c r="B3460" s="2" t="s">
        <v>8298</v>
      </c>
      <c r="C3460" s="2" t="s">
        <v>36</v>
      </c>
      <c r="D3460" s="2" t="s">
        <v>37</v>
      </c>
      <c r="E3460" s="5">
        <v>-29999</v>
      </c>
      <c r="F3460" s="3" t="s">
        <v>471</v>
      </c>
      <c r="G3460" s="3" t="s">
        <v>5923</v>
      </c>
      <c r="H3460" s="2" t="s">
        <v>21</v>
      </c>
      <c r="I3460" s="2" t="s">
        <v>8299</v>
      </c>
      <c r="J3460" s="3" t="str">
        <f>HYPERLINK("https://www.boe.es/gazeta/dias/1817/11/11/pdfs/GMD-1817-135.pdf#page=4","Abrir facsímil")</f>
        <v>Abrir facsímil</v>
      </c>
      <c r="K3460" s="3" t="s">
        <v>23</v>
      </c>
    </row>
    <row r="3461" spans="1:11" ht="42" customHeight="1">
      <c r="A3461" s="2" t="s">
        <v>8300</v>
      </c>
      <c r="B3461" s="2" t="s">
        <v>8301</v>
      </c>
      <c r="C3461" s="2" t="s">
        <v>17</v>
      </c>
      <c r="D3461" s="2" t="s">
        <v>18</v>
      </c>
      <c r="E3461" s="5">
        <v>-30179</v>
      </c>
      <c r="F3461" s="3" t="s">
        <v>391</v>
      </c>
      <c r="G3461" s="3" t="s">
        <v>20</v>
      </c>
      <c r="H3461" s="2" t="s">
        <v>21</v>
      </c>
      <c r="I3461" s="2" t="s">
        <v>8302</v>
      </c>
      <c r="J3461" s="3" t="str">
        <f>HYPERLINK("https://www.boe.es/gazeta/dias/1817/05/15/pdfs/GMD-1817-58.pdf#page=7","Abrir facsímil")</f>
        <v>Abrir facsímil</v>
      </c>
      <c r="K3461" s="3" t="s">
        <v>23</v>
      </c>
    </row>
    <row r="3462" spans="1:11" ht="42" customHeight="1">
      <c r="A3462" s="2" t="s">
        <v>8303</v>
      </c>
      <c r="B3462" s="2" t="s">
        <v>8304</v>
      </c>
      <c r="C3462" s="2" t="s">
        <v>17</v>
      </c>
      <c r="D3462" s="2" t="s">
        <v>18</v>
      </c>
      <c r="E3462" s="5">
        <v>-30179</v>
      </c>
      <c r="F3462" s="3" t="s">
        <v>391</v>
      </c>
      <c r="G3462" s="3" t="s">
        <v>20</v>
      </c>
      <c r="H3462" s="2" t="s">
        <v>21</v>
      </c>
      <c r="I3462" s="2" t="s">
        <v>8305</v>
      </c>
      <c r="J3462" s="3" t="str">
        <f>HYPERLINK("https://www.boe.es/gazeta/dias/1817/05/15/pdfs/GMD-1817-58.pdf#page=7","Abrir facsímil")</f>
        <v>Abrir facsímil</v>
      </c>
      <c r="K3462" s="3" t="s">
        <v>23</v>
      </c>
    </row>
    <row r="3463" spans="1:11" ht="42" customHeight="1">
      <c r="A3463" s="2" t="s">
        <v>8306</v>
      </c>
      <c r="B3463" s="2" t="s">
        <v>8307</v>
      </c>
      <c r="C3463" s="2" t="s">
        <v>17</v>
      </c>
      <c r="D3463" s="2" t="s">
        <v>18</v>
      </c>
      <c r="E3463" s="5">
        <v>-30062</v>
      </c>
      <c r="F3463" s="3" t="s">
        <v>444</v>
      </c>
      <c r="G3463" s="3" t="s">
        <v>82</v>
      </c>
      <c r="H3463" s="2" t="s">
        <v>21</v>
      </c>
      <c r="I3463" s="2" t="s">
        <v>8308</v>
      </c>
      <c r="J3463" s="3" t="str">
        <f>HYPERLINK("https://www.boe.es/gazeta/dias/1817/09/09/pdfs/GMD-1817-108.pdf#page=12","Abrir facsímil")</f>
        <v>Abrir facsímil</v>
      </c>
      <c r="K3463" s="3" t="s">
        <v>23</v>
      </c>
    </row>
    <row r="3464" spans="1:11" ht="42" customHeight="1">
      <c r="A3464" s="2" t="s">
        <v>8309</v>
      </c>
      <c r="B3464" s="2" t="s">
        <v>8310</v>
      </c>
      <c r="C3464" s="2" t="s">
        <v>36</v>
      </c>
      <c r="D3464" s="2" t="s">
        <v>37</v>
      </c>
      <c r="E3464" s="5">
        <v>-30020</v>
      </c>
      <c r="F3464" s="3" t="s">
        <v>291</v>
      </c>
      <c r="G3464" s="3" t="s">
        <v>57</v>
      </c>
      <c r="H3464" s="2" t="s">
        <v>21</v>
      </c>
      <c r="I3464" s="2" t="s">
        <v>8311</v>
      </c>
      <c r="J3464" s="3" t="str">
        <f>HYPERLINK("https://www.boe.es/gazeta/dias/1817/10/21/pdfs/GMD-1817-126.pdf#page=6","Abrir facsímil")</f>
        <v>Abrir facsímil</v>
      </c>
      <c r="K3464" s="3" t="s">
        <v>23</v>
      </c>
    </row>
    <row r="3465" spans="1:11" ht="42" customHeight="1">
      <c r="A3465" s="2" t="s">
        <v>8312</v>
      </c>
      <c r="B3465" s="2" t="s">
        <v>8313</v>
      </c>
      <c r="C3465" s="2" t="s">
        <v>36</v>
      </c>
      <c r="D3465" s="2" t="s">
        <v>37</v>
      </c>
      <c r="E3465" s="5">
        <v>-30284</v>
      </c>
      <c r="F3465" s="3" t="s">
        <v>741</v>
      </c>
      <c r="G3465" s="3" t="s">
        <v>742</v>
      </c>
      <c r="H3465" s="2" t="s">
        <v>21</v>
      </c>
      <c r="I3465" s="2" t="s">
        <v>8314</v>
      </c>
      <c r="J3465" s="3" t="str">
        <f>HYPERLINK("https://www.boe.es/gazeta/dias/1817/01/30/pdfs/GMD-1817-13.pdf#page=4","Abrir facsímil")</f>
        <v>Abrir facsímil</v>
      </c>
      <c r="K3465" s="3" t="s">
        <v>23</v>
      </c>
    </row>
    <row r="3466" spans="1:11" ht="42" customHeight="1">
      <c r="A3466" s="2" t="s">
        <v>8315</v>
      </c>
      <c r="B3466" s="2" t="s">
        <v>8316</v>
      </c>
      <c r="C3466" s="2" t="s">
        <v>36</v>
      </c>
      <c r="D3466" s="2" t="s">
        <v>37</v>
      </c>
      <c r="E3466" s="5">
        <v>-30307</v>
      </c>
      <c r="F3466" s="3" t="s">
        <v>67</v>
      </c>
      <c r="G3466" s="3" t="s">
        <v>68</v>
      </c>
      <c r="H3466" s="2" t="s">
        <v>27</v>
      </c>
      <c r="I3466" s="2" t="s">
        <v>8317</v>
      </c>
      <c r="J3466" s="3" t="str">
        <f>HYPERLINK("https://www.boe.es/gazeta/dias/1817/01/07/pdfs/GMD-1817-3.pdf#page=8","Abrir facsímil")</f>
        <v>Abrir facsímil</v>
      </c>
      <c r="K3466" s="3" t="s">
        <v>29</v>
      </c>
    </row>
    <row r="3467" spans="1:11" ht="42" customHeight="1">
      <c r="A3467" s="2" t="s">
        <v>8318</v>
      </c>
      <c r="B3467" s="2" t="s">
        <v>8319</v>
      </c>
      <c r="C3467" s="2" t="s">
        <v>36</v>
      </c>
      <c r="D3467" s="2" t="s">
        <v>37</v>
      </c>
      <c r="E3467" s="5">
        <v>-30235</v>
      </c>
      <c r="F3467" s="3" t="s">
        <v>398</v>
      </c>
      <c r="G3467" s="3" t="s">
        <v>144</v>
      </c>
      <c r="H3467" s="2" t="s">
        <v>21</v>
      </c>
      <c r="I3467" s="2" t="s">
        <v>8320</v>
      </c>
      <c r="J3467" s="3" t="str">
        <f>HYPERLINK("https://www.boe.es/gazeta/dias/1817/03/20/pdfs/GMD-1817-34.pdf#page=4","Abrir facsímil")</f>
        <v>Abrir facsímil</v>
      </c>
      <c r="K3467" s="3" t="s">
        <v>23</v>
      </c>
    </row>
    <row r="3468" spans="1:11" ht="42" customHeight="1">
      <c r="A3468" s="2" t="s">
        <v>8318</v>
      </c>
      <c r="B3468" s="2" t="s">
        <v>8319</v>
      </c>
      <c r="C3468" s="2" t="s">
        <v>36</v>
      </c>
      <c r="D3468" s="2" t="s">
        <v>37</v>
      </c>
      <c r="E3468" s="5">
        <v>-30065</v>
      </c>
      <c r="F3468" s="3" t="s">
        <v>201</v>
      </c>
      <c r="G3468" s="3" t="s">
        <v>4554</v>
      </c>
      <c r="H3468" s="2" t="s">
        <v>21</v>
      </c>
      <c r="I3468" s="2" t="s">
        <v>8321</v>
      </c>
      <c r="J3468" s="3" t="str">
        <f>HYPERLINK("https://www.boe.es/gazeta/dias/1817/09/06/pdfs/GMD-1817-107.pdf#page=5","Abrir facsímil")</f>
        <v>Abrir facsímil</v>
      </c>
      <c r="K3468" s="3" t="s">
        <v>23</v>
      </c>
    </row>
    <row r="3469" spans="1:11" ht="42" customHeight="1">
      <c r="A3469" s="2" t="s">
        <v>8322</v>
      </c>
      <c r="B3469" s="2" t="s">
        <v>8323</v>
      </c>
      <c r="C3469" s="2" t="s">
        <v>17</v>
      </c>
      <c r="D3469" s="2" t="s">
        <v>18</v>
      </c>
      <c r="E3469" s="5">
        <v>-30048</v>
      </c>
      <c r="F3469" s="3" t="s">
        <v>573</v>
      </c>
      <c r="G3469" s="3" t="s">
        <v>77</v>
      </c>
      <c r="H3469" s="2" t="s">
        <v>21</v>
      </c>
      <c r="I3469" s="2" t="s">
        <v>8324</v>
      </c>
      <c r="J3469" s="3" t="str">
        <f>HYPERLINK("https://www.boe.es/gazeta/dias/1817/09/23/pdfs/GMD-1817-114.pdf#page=8","Abrir facsímil")</f>
        <v>Abrir facsímil</v>
      </c>
      <c r="K3469" s="3" t="s">
        <v>23</v>
      </c>
    </row>
    <row r="3470" spans="1:11" ht="42" customHeight="1">
      <c r="A3470" s="2" t="s">
        <v>8325</v>
      </c>
      <c r="B3470" s="2" t="s">
        <v>8326</v>
      </c>
      <c r="C3470" s="2" t="s">
        <v>17</v>
      </c>
      <c r="D3470" s="2" t="s">
        <v>18</v>
      </c>
      <c r="E3470" s="5">
        <v>-29953</v>
      </c>
      <c r="F3470" s="3" t="s">
        <v>793</v>
      </c>
      <c r="G3470" s="3" t="s">
        <v>20</v>
      </c>
      <c r="H3470" s="2" t="s">
        <v>21</v>
      </c>
      <c r="I3470" s="2" t="s">
        <v>8327</v>
      </c>
      <c r="J3470" s="3" t="str">
        <f>HYPERLINK("https://www.boe.es/gazeta/dias/1817/12/27/pdfs/GMD-1817-155.pdf#page=7","Abrir facsímil")</f>
        <v>Abrir facsímil</v>
      </c>
      <c r="K3470" s="3" t="s">
        <v>23</v>
      </c>
    </row>
    <row r="3471" spans="1:11" ht="42" customHeight="1">
      <c r="A3471" s="2" t="s">
        <v>8328</v>
      </c>
      <c r="B3471" s="2" t="s">
        <v>8329</v>
      </c>
      <c r="C3471" s="2" t="s">
        <v>17</v>
      </c>
      <c r="D3471" s="2" t="s">
        <v>18</v>
      </c>
      <c r="E3471" s="5">
        <v>-30237</v>
      </c>
      <c r="F3471" s="3" t="s">
        <v>56</v>
      </c>
      <c r="G3471" s="3" t="s">
        <v>144</v>
      </c>
      <c r="H3471" s="2" t="s">
        <v>21</v>
      </c>
      <c r="I3471" s="2" t="s">
        <v>8330</v>
      </c>
      <c r="J3471" s="3" t="str">
        <f>HYPERLINK("https://www.boe.es/gazeta/dias/1817/03/18/pdfs/GMD-1817-33.pdf#page=4","Abrir facsímil")</f>
        <v>Abrir facsímil</v>
      </c>
      <c r="K3471" s="3" t="s">
        <v>23</v>
      </c>
    </row>
    <row r="3472" spans="1:11" ht="42" customHeight="1">
      <c r="A3472" s="2" t="s">
        <v>8331</v>
      </c>
      <c r="B3472" s="2" t="s">
        <v>8332</v>
      </c>
      <c r="C3472" s="2" t="s">
        <v>17</v>
      </c>
      <c r="D3472" s="2" t="s">
        <v>18</v>
      </c>
      <c r="E3472" s="5">
        <v>-30179</v>
      </c>
      <c r="F3472" s="3" t="s">
        <v>391</v>
      </c>
      <c r="G3472" s="3" t="s">
        <v>20</v>
      </c>
      <c r="H3472" s="2" t="s">
        <v>21</v>
      </c>
      <c r="I3472" s="2" t="s">
        <v>8333</v>
      </c>
      <c r="J3472" s="3" t="str">
        <f>HYPERLINK("https://www.boe.es/gazeta/dias/1817/05/15/pdfs/GMD-1817-58.pdf#page=7","Abrir facsímil")</f>
        <v>Abrir facsímil</v>
      </c>
      <c r="K3472" s="3" t="s">
        <v>23</v>
      </c>
    </row>
    <row r="3473" spans="1:11" ht="42" customHeight="1">
      <c r="A3473" s="2" t="s">
        <v>8334</v>
      </c>
      <c r="B3473" s="2" t="s">
        <v>8335</v>
      </c>
      <c r="C3473" s="2" t="s">
        <v>17</v>
      </c>
      <c r="D3473" s="2" t="s">
        <v>18</v>
      </c>
      <c r="E3473" s="5">
        <v>-30284</v>
      </c>
      <c r="F3473" s="3" t="s">
        <v>741</v>
      </c>
      <c r="G3473" s="3" t="s">
        <v>77</v>
      </c>
      <c r="H3473" s="2" t="s">
        <v>21</v>
      </c>
      <c r="I3473" s="2" t="s">
        <v>8336</v>
      </c>
      <c r="J3473" s="3" t="str">
        <f>HYPERLINK("https://www.boe.es/gazeta/dias/1817/01/30/pdfs/GMD-1817-13.pdf#page=8","Abrir facsímil")</f>
        <v>Abrir facsímil</v>
      </c>
      <c r="K3473" s="3" t="s">
        <v>23</v>
      </c>
    </row>
    <row r="3474" spans="1:11" ht="42" customHeight="1">
      <c r="A3474" s="2" t="s">
        <v>8337</v>
      </c>
      <c r="B3474" s="2" t="s">
        <v>8338</v>
      </c>
      <c r="C3474" s="2" t="s">
        <v>43</v>
      </c>
      <c r="D3474" s="2" t="s">
        <v>44</v>
      </c>
      <c r="E3474" s="5">
        <v>-30037</v>
      </c>
      <c r="F3474" s="3" t="s">
        <v>453</v>
      </c>
      <c r="G3474" s="3" t="s">
        <v>77</v>
      </c>
      <c r="H3474" s="2" t="s">
        <v>21</v>
      </c>
      <c r="I3474" s="2" t="s">
        <v>8339</v>
      </c>
      <c r="J3474" s="3" t="str">
        <f>HYPERLINK("https://www.boe.es/gazeta/dias/1817/10/04/pdfs/GMD-1817-119.pdf#page=8","Abrir facsímil")</f>
        <v>Abrir facsímil</v>
      </c>
      <c r="K3474" s="3" t="s">
        <v>23</v>
      </c>
    </row>
    <row r="3475" spans="1:11" ht="42" customHeight="1">
      <c r="A3475" s="2" t="s">
        <v>8337</v>
      </c>
      <c r="B3475" s="2" t="s">
        <v>8338</v>
      </c>
      <c r="C3475" s="2" t="s">
        <v>17</v>
      </c>
      <c r="D3475" s="2" t="s">
        <v>18</v>
      </c>
      <c r="E3475" s="5">
        <v>-30027</v>
      </c>
      <c r="F3475" s="3" t="s">
        <v>173</v>
      </c>
      <c r="G3475" s="3" t="s">
        <v>20</v>
      </c>
      <c r="H3475" s="2" t="s">
        <v>21</v>
      </c>
      <c r="I3475" s="2" t="s">
        <v>8340</v>
      </c>
      <c r="J3475" s="3" t="str">
        <f>HYPERLINK("https://www.boe.es/gazeta/dias/1817/10/14/pdfs/GMD-1817-123.pdf#page=7","Abrir facsímil")</f>
        <v>Abrir facsímil</v>
      </c>
      <c r="K3475" s="3" t="s">
        <v>23</v>
      </c>
    </row>
    <row r="3476" spans="1:11" ht="42" customHeight="1">
      <c r="A3476" s="2" t="s">
        <v>8337</v>
      </c>
      <c r="B3476" s="2" t="s">
        <v>8338</v>
      </c>
      <c r="C3476" s="2" t="s">
        <v>17</v>
      </c>
      <c r="D3476" s="2" t="s">
        <v>18</v>
      </c>
      <c r="E3476" s="5">
        <v>-30025</v>
      </c>
      <c r="F3476" s="3" t="s">
        <v>458</v>
      </c>
      <c r="G3476" s="3" t="s">
        <v>77</v>
      </c>
      <c r="H3476" s="2" t="s">
        <v>21</v>
      </c>
      <c r="I3476" s="2" t="s">
        <v>8341</v>
      </c>
      <c r="J3476" s="3" t="str">
        <f>HYPERLINK("https://www.boe.es/gazeta/dias/1817/10/16/pdfs/GMD-1817-124.pdf#page=8","Abrir facsímil")</f>
        <v>Abrir facsímil</v>
      </c>
      <c r="K3476" s="3" t="s">
        <v>23</v>
      </c>
    </row>
    <row r="3477" spans="1:11" ht="42" customHeight="1">
      <c r="A3477" s="2" t="s">
        <v>8337</v>
      </c>
      <c r="B3477" s="2" t="s">
        <v>8338</v>
      </c>
      <c r="C3477" s="2" t="s">
        <v>49</v>
      </c>
      <c r="D3477" s="2" t="s">
        <v>44</v>
      </c>
      <c r="E3477" s="5">
        <v>-30009</v>
      </c>
      <c r="F3477" s="3" t="s">
        <v>512</v>
      </c>
      <c r="G3477" s="3" t="s">
        <v>77</v>
      </c>
      <c r="H3477" s="2" t="s">
        <v>21</v>
      </c>
      <c r="I3477" s="2" t="s">
        <v>8342</v>
      </c>
      <c r="J3477" s="3" t="str">
        <f>HYPERLINK("https://www.boe.es/gazeta/dias/1817/11/01/pdfs/GMD-1817-131.pdf#page=8","Abrir facsímil")</f>
        <v>Abrir facsímil</v>
      </c>
      <c r="K3477" s="3" t="s">
        <v>23</v>
      </c>
    </row>
    <row r="3478" spans="1:11" ht="42" customHeight="1">
      <c r="A3478" s="2" t="s">
        <v>8337</v>
      </c>
      <c r="B3478" s="2" t="s">
        <v>8338</v>
      </c>
      <c r="C3478" s="2" t="s">
        <v>17</v>
      </c>
      <c r="D3478" s="2" t="s">
        <v>18</v>
      </c>
      <c r="E3478" s="5">
        <v>-30002</v>
      </c>
      <c r="F3478" s="3" t="s">
        <v>469</v>
      </c>
      <c r="G3478" s="3" t="s">
        <v>77</v>
      </c>
      <c r="H3478" s="2" t="s">
        <v>21</v>
      </c>
      <c r="I3478" s="2" t="s">
        <v>8343</v>
      </c>
      <c r="J3478" s="3" t="str">
        <f>HYPERLINK("https://www.boe.es/gazeta/dias/1817/11/08/pdfs/GMD-1817-134.pdf#page=8","Abrir facsímil")</f>
        <v>Abrir facsímil</v>
      </c>
      <c r="K3478" s="3" t="s">
        <v>23</v>
      </c>
    </row>
    <row r="3479" spans="1:11" ht="42" customHeight="1">
      <c r="A3479" s="2" t="s">
        <v>8337</v>
      </c>
      <c r="B3479" s="2" t="s">
        <v>8338</v>
      </c>
      <c r="C3479" s="2" t="s">
        <v>17</v>
      </c>
      <c r="D3479" s="2" t="s">
        <v>18</v>
      </c>
      <c r="E3479" s="5">
        <v>-29999</v>
      </c>
      <c r="F3479" s="3" t="s">
        <v>471</v>
      </c>
      <c r="G3479" s="3" t="s">
        <v>472</v>
      </c>
      <c r="H3479" s="2" t="s">
        <v>21</v>
      </c>
      <c r="I3479" s="2" t="s">
        <v>8344</v>
      </c>
      <c r="J3479" s="3" t="str">
        <f>HYPERLINK("https://www.boe.es/gazeta/dias/1817/11/11/pdfs/GMD-1817-135.pdf#page=16","Abrir facsímil")</f>
        <v>Abrir facsímil</v>
      </c>
      <c r="K3479" s="3" t="s">
        <v>23</v>
      </c>
    </row>
    <row r="3480" spans="1:11" ht="42" customHeight="1">
      <c r="A3480" s="2" t="s">
        <v>8337</v>
      </c>
      <c r="B3480" s="2" t="s">
        <v>8338</v>
      </c>
      <c r="C3480" s="2" t="s">
        <v>17</v>
      </c>
      <c r="D3480" s="2" t="s">
        <v>18</v>
      </c>
      <c r="E3480" s="5">
        <v>-29981</v>
      </c>
      <c r="F3480" s="3" t="s">
        <v>111</v>
      </c>
      <c r="G3480" s="3" t="s">
        <v>82</v>
      </c>
      <c r="H3480" s="2" t="s">
        <v>21</v>
      </c>
      <c r="I3480" s="2" t="s">
        <v>8345</v>
      </c>
      <c r="J3480" s="3" t="str">
        <f>HYPERLINK("https://www.boe.es/gazeta/dias/1817/11/29/pdfs/GMD-1817-143.pdf#page=12","Abrir facsímil")</f>
        <v>Abrir facsímil</v>
      </c>
      <c r="K3480" s="3" t="s">
        <v>23</v>
      </c>
    </row>
    <row r="3481" spans="1:11" ht="42" customHeight="1">
      <c r="A3481" s="2" t="s">
        <v>8337</v>
      </c>
      <c r="B3481" s="2" t="s">
        <v>8338</v>
      </c>
      <c r="C3481" s="2" t="s">
        <v>138</v>
      </c>
      <c r="D3481" s="2" t="s">
        <v>44</v>
      </c>
      <c r="E3481" s="5">
        <v>-29978</v>
      </c>
      <c r="F3481" s="3" t="s">
        <v>478</v>
      </c>
      <c r="G3481" s="3" t="s">
        <v>82</v>
      </c>
      <c r="H3481" s="2" t="s">
        <v>21</v>
      </c>
      <c r="I3481" s="2" t="s">
        <v>8346</v>
      </c>
      <c r="J3481" s="3" t="str">
        <f>HYPERLINK("https://www.boe.es/gazeta/dias/1817/12/02/pdfs/GMD-1817-144.pdf#page=12","Abrir facsímil")</f>
        <v>Abrir facsímil</v>
      </c>
      <c r="K3481" s="3" t="s">
        <v>23</v>
      </c>
    </row>
    <row r="3482" spans="1:11" ht="42" customHeight="1">
      <c r="A3482" s="2" t="s">
        <v>8347</v>
      </c>
      <c r="B3482" s="2" t="s">
        <v>8348</v>
      </c>
      <c r="C3482" s="2" t="s">
        <v>510</v>
      </c>
      <c r="D3482" s="2" t="s">
        <v>44</v>
      </c>
      <c r="E3482" s="5">
        <v>-30025</v>
      </c>
      <c r="F3482" s="3" t="s">
        <v>458</v>
      </c>
      <c r="G3482" s="3" t="s">
        <v>77</v>
      </c>
      <c r="H3482" s="2" t="s">
        <v>27</v>
      </c>
      <c r="I3482" s="2" t="s">
        <v>8349</v>
      </c>
      <c r="J3482" s="3" t="str">
        <f>HYPERLINK("https://www.boe.es/gazeta/dias/1817/10/16/pdfs/GMD-1817-124.pdf#page=8","Abrir facsímil")</f>
        <v>Abrir facsímil</v>
      </c>
      <c r="K3482" s="3" t="s">
        <v>29</v>
      </c>
    </row>
    <row r="3483" spans="1:11" ht="42" customHeight="1">
      <c r="A3483" s="2" t="s">
        <v>8350</v>
      </c>
      <c r="B3483" s="2" t="s">
        <v>8351</v>
      </c>
      <c r="C3483" s="2" t="s">
        <v>17</v>
      </c>
      <c r="D3483" s="2" t="s">
        <v>18</v>
      </c>
      <c r="E3483" s="5">
        <v>-30165</v>
      </c>
      <c r="F3483" s="3" t="s">
        <v>2040</v>
      </c>
      <c r="G3483" s="3" t="s">
        <v>77</v>
      </c>
      <c r="H3483" s="2" t="s">
        <v>21</v>
      </c>
      <c r="I3483" s="2" t="s">
        <v>8352</v>
      </c>
      <c r="J3483" s="3" t="str">
        <f>HYPERLINK("https://www.boe.es/gazeta/dias/1817/05/29/pdfs/GMD-1817-64.pdf#page=8","Abrir facsímil")</f>
        <v>Abrir facsímil</v>
      </c>
      <c r="K3483" s="3" t="s">
        <v>23</v>
      </c>
    </row>
    <row r="3484" spans="1:11" ht="42" customHeight="1">
      <c r="A3484" s="2" t="s">
        <v>8353</v>
      </c>
      <c r="B3484" s="2" t="s">
        <v>8354</v>
      </c>
      <c r="C3484" s="2" t="s">
        <v>36</v>
      </c>
      <c r="D3484" s="2" t="s">
        <v>37</v>
      </c>
      <c r="E3484" s="5">
        <v>-29995</v>
      </c>
      <c r="F3484" s="3" t="s">
        <v>514</v>
      </c>
      <c r="G3484" s="3" t="s">
        <v>515</v>
      </c>
      <c r="H3484" s="2" t="s">
        <v>21</v>
      </c>
      <c r="I3484" s="2" t="s">
        <v>8355</v>
      </c>
      <c r="J3484" s="3" t="str">
        <f>HYPERLINK("https://www.boe.es/gazeta/dias/1817/11/15/pdfs/GMD-1817-137.pdf#page=8","Abrir facsímil")</f>
        <v>Abrir facsímil</v>
      </c>
      <c r="K3484" s="3" t="s">
        <v>23</v>
      </c>
    </row>
    <row r="3485" spans="1:11" ht="42" customHeight="1">
      <c r="A3485" s="2" t="s">
        <v>8356</v>
      </c>
      <c r="B3485" s="2" t="s">
        <v>8357</v>
      </c>
      <c r="C3485" s="2" t="s">
        <v>55</v>
      </c>
      <c r="D3485" s="2" t="s">
        <v>44</v>
      </c>
      <c r="E3485" s="5">
        <v>-30018</v>
      </c>
      <c r="F3485" s="3" t="s">
        <v>757</v>
      </c>
      <c r="G3485" s="3" t="s">
        <v>77</v>
      </c>
      <c r="H3485" s="2" t="s">
        <v>21</v>
      </c>
      <c r="I3485" s="2" t="s">
        <v>8358</v>
      </c>
      <c r="J3485" s="3" t="str">
        <f>HYPERLINK("https://www.boe.es/gazeta/dias/1817/10/23/pdfs/GMD-1817-127.pdf#page=8","Abrir facsímil")</f>
        <v>Abrir facsímil</v>
      </c>
      <c r="K3485" s="3" t="s">
        <v>23</v>
      </c>
    </row>
    <row r="3486" spans="1:11" ht="42" customHeight="1">
      <c r="A3486" s="2" t="s">
        <v>8359</v>
      </c>
      <c r="B3486" s="2" t="s">
        <v>8360</v>
      </c>
      <c r="C3486" s="2" t="s">
        <v>36</v>
      </c>
      <c r="D3486" s="2" t="s">
        <v>37</v>
      </c>
      <c r="E3486" s="5">
        <v>-30298</v>
      </c>
      <c r="F3486" s="3" t="s">
        <v>489</v>
      </c>
      <c r="G3486" s="3" t="s">
        <v>644</v>
      </c>
      <c r="H3486" s="2" t="s">
        <v>21</v>
      </c>
      <c r="I3486" s="2" t="s">
        <v>8361</v>
      </c>
      <c r="J3486" s="3" t="str">
        <f>HYPERLINK("https://www.boe.es/gazeta/dias/1817/01/16/pdfs/GMD-1817-7.pdf#page=5","Abrir facsímil")</f>
        <v>Abrir facsímil</v>
      </c>
      <c r="K3486" s="3" t="s">
        <v>23</v>
      </c>
    </row>
    <row r="3487" spans="1:11" ht="42" customHeight="1">
      <c r="A3487" s="2" t="s">
        <v>8362</v>
      </c>
      <c r="B3487" s="2" t="s">
        <v>8363</v>
      </c>
      <c r="C3487" s="2" t="s">
        <v>36</v>
      </c>
      <c r="D3487" s="2" t="s">
        <v>37</v>
      </c>
      <c r="E3487" s="5">
        <v>-30230</v>
      </c>
      <c r="F3487" s="3" t="s">
        <v>189</v>
      </c>
      <c r="G3487" s="3" t="s">
        <v>77</v>
      </c>
      <c r="H3487" s="2" t="s">
        <v>21</v>
      </c>
      <c r="I3487" s="2" t="s">
        <v>8364</v>
      </c>
      <c r="J3487" s="3" t="str">
        <f>HYPERLINK("https://www.boe.es/gazeta/dias/1817/03/25/pdfs/GMD-1817-36.pdf#page=8","Abrir facsímil")</f>
        <v>Abrir facsímil</v>
      </c>
      <c r="K3487" s="3" t="s">
        <v>23</v>
      </c>
    </row>
    <row r="3488" spans="1:11" ht="42" customHeight="1">
      <c r="A3488" s="2" t="s">
        <v>8365</v>
      </c>
      <c r="B3488" s="2" t="s">
        <v>8366</v>
      </c>
      <c r="C3488" s="2" t="s">
        <v>17</v>
      </c>
      <c r="D3488" s="2" t="s">
        <v>18</v>
      </c>
      <c r="E3488" s="5">
        <v>-30153</v>
      </c>
      <c r="F3488" s="3" t="s">
        <v>843</v>
      </c>
      <c r="G3488" s="3" t="s">
        <v>77</v>
      </c>
      <c r="H3488" s="2" t="s">
        <v>21</v>
      </c>
      <c r="I3488" s="2" t="s">
        <v>8367</v>
      </c>
      <c r="J3488" s="3" t="str">
        <f>HYPERLINK("https://www.boe.es/gazeta/dias/1817/06/10/pdfs/GMD-1817-69.pdf#page=8","Abrir facsímil")</f>
        <v>Abrir facsímil</v>
      </c>
      <c r="K3488" s="3" t="s">
        <v>23</v>
      </c>
    </row>
    <row r="3489" spans="1:11" ht="42" customHeight="1">
      <c r="A3489" s="2" t="s">
        <v>8368</v>
      </c>
      <c r="B3489" s="2" t="s">
        <v>8369</v>
      </c>
      <c r="C3489" s="2" t="s">
        <v>17</v>
      </c>
      <c r="D3489" s="2" t="s">
        <v>18</v>
      </c>
      <c r="E3489" s="5">
        <v>-30097</v>
      </c>
      <c r="F3489" s="3" t="s">
        <v>156</v>
      </c>
      <c r="G3489" s="3" t="s">
        <v>2493</v>
      </c>
      <c r="H3489" s="2" t="s">
        <v>21</v>
      </c>
      <c r="I3489" s="2" t="s">
        <v>8370</v>
      </c>
      <c r="J3489" s="3" t="str">
        <f>HYPERLINK("https://www.boe.es/gazeta/dias/1817/08/05/pdfs/GMD-1817-93.pdf#page=8","Abrir facsímil")</f>
        <v>Abrir facsímil</v>
      </c>
      <c r="K3489" s="3" t="s">
        <v>23</v>
      </c>
    </row>
    <row r="3490" spans="1:11" ht="42" customHeight="1">
      <c r="A3490" s="2" t="s">
        <v>8365</v>
      </c>
      <c r="B3490" s="2" t="s">
        <v>8366</v>
      </c>
      <c r="C3490" s="2" t="s">
        <v>17</v>
      </c>
      <c r="D3490" s="2" t="s">
        <v>18</v>
      </c>
      <c r="E3490" s="5">
        <v>-30032</v>
      </c>
      <c r="F3490" s="3" t="s">
        <v>337</v>
      </c>
      <c r="G3490" s="3" t="s">
        <v>77</v>
      </c>
      <c r="H3490" s="2" t="s">
        <v>21</v>
      </c>
      <c r="I3490" s="2" t="s">
        <v>8371</v>
      </c>
      <c r="J3490" s="3" t="str">
        <f>HYPERLINK("https://www.boe.es/gazeta/dias/1817/10/09/pdfs/GMD-1817-121.pdf#page=8","Abrir facsímil")</f>
        <v>Abrir facsímil</v>
      </c>
      <c r="K3490" s="3" t="s">
        <v>23</v>
      </c>
    </row>
    <row r="3491" spans="1:11" ht="42" customHeight="1">
      <c r="A3491" s="2" t="s">
        <v>8372</v>
      </c>
      <c r="B3491" s="2" t="s">
        <v>8372</v>
      </c>
      <c r="C3491" s="2" t="s">
        <v>43</v>
      </c>
      <c r="D3491" s="2" t="s">
        <v>44</v>
      </c>
      <c r="E3491" s="5">
        <v>-29962</v>
      </c>
      <c r="F3491" s="3" t="s">
        <v>485</v>
      </c>
      <c r="G3491" s="3" t="s">
        <v>39</v>
      </c>
      <c r="H3491" s="2" t="s">
        <v>21</v>
      </c>
      <c r="I3491" s="2" t="s">
        <v>8373</v>
      </c>
      <c r="J3491" s="3" t="str">
        <f>HYPERLINK("https://www.boe.es/gazeta/dias/1817/12/18/pdfs/GMD-1817-151.pdf#page=5","Abrir facsímil")</f>
        <v>Abrir facsímil</v>
      </c>
      <c r="K3491" s="3" t="s">
        <v>23</v>
      </c>
    </row>
    <row r="3492" spans="1:11" ht="42" customHeight="1">
      <c r="A3492" s="2" t="s">
        <v>8374</v>
      </c>
      <c r="B3492" s="2" t="s">
        <v>8374</v>
      </c>
      <c r="C3492" s="2" t="s">
        <v>36</v>
      </c>
      <c r="D3492" s="2" t="s">
        <v>37</v>
      </c>
      <c r="E3492" s="5">
        <v>-30170</v>
      </c>
      <c r="F3492" s="3" t="s">
        <v>98</v>
      </c>
      <c r="G3492" s="3" t="s">
        <v>551</v>
      </c>
      <c r="H3492" s="2" t="s">
        <v>21</v>
      </c>
      <c r="I3492" s="2" t="s">
        <v>8375</v>
      </c>
      <c r="J3492" s="3" t="str">
        <f>HYPERLINK("https://www.boe.es/gazeta/dias/1817/05/24/pdfs/GMD-1817-62.pdf#page=3","Abrir facsímil")</f>
        <v>Abrir facsímil</v>
      </c>
      <c r="K3492" s="3" t="s">
        <v>23</v>
      </c>
    </row>
    <row r="3493" spans="1:11" ht="42" customHeight="1">
      <c r="A3493" s="2" t="s">
        <v>8376</v>
      </c>
      <c r="B3493" s="2" t="s">
        <v>8376</v>
      </c>
      <c r="C3493" s="2" t="s">
        <v>510</v>
      </c>
      <c r="D3493" s="2" t="s">
        <v>44</v>
      </c>
      <c r="E3493" s="5">
        <v>-30193</v>
      </c>
      <c r="F3493" s="3" t="s">
        <v>38</v>
      </c>
      <c r="G3493" s="3" t="s">
        <v>629</v>
      </c>
      <c r="H3493" s="2" t="s">
        <v>21</v>
      </c>
      <c r="I3493" s="2" t="s">
        <v>8377</v>
      </c>
      <c r="J3493" s="3" t="str">
        <f>HYPERLINK("https://www.boe.es/gazeta/dias/1817/05/01/pdfs/GMD-1817-52.pdf#page=2","Abrir facsímil")</f>
        <v>Abrir facsímil</v>
      </c>
      <c r="K3493" s="3" t="s">
        <v>23</v>
      </c>
    </row>
    <row r="3494" spans="1:11" ht="42" customHeight="1">
      <c r="A3494" s="2" t="s">
        <v>8376</v>
      </c>
      <c r="B3494" s="2" t="s">
        <v>8376</v>
      </c>
      <c r="C3494" s="2" t="s">
        <v>510</v>
      </c>
      <c r="D3494" s="2" t="s">
        <v>44</v>
      </c>
      <c r="E3494" s="5">
        <v>-30086</v>
      </c>
      <c r="F3494" s="3" t="s">
        <v>221</v>
      </c>
      <c r="G3494" s="3" t="s">
        <v>72</v>
      </c>
      <c r="H3494" s="2" t="s">
        <v>21</v>
      </c>
      <c r="I3494" s="2" t="s">
        <v>8378</v>
      </c>
      <c r="J3494" s="3" t="str">
        <f>HYPERLINK("https://www.boe.es/gazeta/dias/1817/08/16/pdfs/GMD-1817-98.pdf#page=1","Abrir facsímil")</f>
        <v>Abrir facsímil</v>
      </c>
      <c r="K3494" s="3" t="s">
        <v>23</v>
      </c>
    </row>
    <row r="3495" spans="1:11" ht="42" customHeight="1">
      <c r="A3495" s="2" t="s">
        <v>8379</v>
      </c>
      <c r="B3495" s="2" t="s">
        <v>8379</v>
      </c>
      <c r="C3495" s="2" t="s">
        <v>36</v>
      </c>
      <c r="D3495" s="2" t="s">
        <v>37</v>
      </c>
      <c r="E3495" s="5">
        <v>-30303</v>
      </c>
      <c r="F3495" s="3" t="s">
        <v>407</v>
      </c>
      <c r="G3495" s="3" t="s">
        <v>551</v>
      </c>
      <c r="H3495" s="2" t="s">
        <v>21</v>
      </c>
      <c r="I3495" s="2" t="s">
        <v>8380</v>
      </c>
      <c r="J3495" s="3" t="str">
        <f>HYPERLINK("https://www.boe.es/gazeta/dias/1817/01/11/pdfs/GMD-1817-5.pdf#page=3","Abrir facsímil")</f>
        <v>Abrir facsímil</v>
      </c>
      <c r="K3495" s="3" t="s">
        <v>23</v>
      </c>
    </row>
    <row r="3496" spans="1:11" ht="42" customHeight="1">
      <c r="A3496" s="2" t="s">
        <v>8379</v>
      </c>
      <c r="B3496" s="2" t="s">
        <v>8379</v>
      </c>
      <c r="C3496" s="2" t="s">
        <v>36</v>
      </c>
      <c r="D3496" s="2" t="s">
        <v>37</v>
      </c>
      <c r="E3496" s="5">
        <v>-30303</v>
      </c>
      <c r="F3496" s="3" t="s">
        <v>407</v>
      </c>
      <c r="G3496" s="3" t="s">
        <v>144</v>
      </c>
      <c r="H3496" s="2" t="s">
        <v>21</v>
      </c>
      <c r="I3496" s="2" t="s">
        <v>8381</v>
      </c>
      <c r="J3496" s="3" t="str">
        <f>HYPERLINK("https://www.boe.es/gazeta/dias/1817/01/11/pdfs/GMD-1817-5.pdf#page=4","Abrir facsímil")</f>
        <v>Abrir facsímil</v>
      </c>
      <c r="K3496" s="3" t="s">
        <v>23</v>
      </c>
    </row>
    <row r="3497" spans="1:11" ht="42" customHeight="1">
      <c r="A3497" s="2" t="s">
        <v>8379</v>
      </c>
      <c r="B3497" s="2" t="s">
        <v>8379</v>
      </c>
      <c r="C3497" s="2" t="s">
        <v>36</v>
      </c>
      <c r="D3497" s="2" t="s">
        <v>37</v>
      </c>
      <c r="E3497" s="5">
        <v>-30261</v>
      </c>
      <c r="F3497" s="3" t="s">
        <v>226</v>
      </c>
      <c r="G3497" s="3" t="s">
        <v>551</v>
      </c>
      <c r="H3497" s="2" t="s">
        <v>21</v>
      </c>
      <c r="I3497" s="2" t="s">
        <v>8382</v>
      </c>
      <c r="J3497" s="3" t="str">
        <f>HYPERLINK("https://www.boe.es/gazeta/dias/1817/02/22/pdfs/GMD-1817-23.pdf#page=3","Abrir facsímil")</f>
        <v>Abrir facsímil</v>
      </c>
      <c r="K3497" s="3" t="s">
        <v>23</v>
      </c>
    </row>
    <row r="3498" spans="1:11" ht="42" customHeight="1">
      <c r="A3498" s="2" t="s">
        <v>8379</v>
      </c>
      <c r="B3498" s="2" t="s">
        <v>8379</v>
      </c>
      <c r="C3498" s="2" t="s">
        <v>36</v>
      </c>
      <c r="D3498" s="2" t="s">
        <v>37</v>
      </c>
      <c r="E3498" s="5">
        <v>-30151</v>
      </c>
      <c r="F3498" s="3" t="s">
        <v>1422</v>
      </c>
      <c r="G3498" s="3" t="s">
        <v>4144</v>
      </c>
      <c r="H3498" s="2" t="s">
        <v>21</v>
      </c>
      <c r="I3498" s="2" t="s">
        <v>8383</v>
      </c>
      <c r="J3498" s="3" t="str">
        <f>HYPERLINK("https://www.boe.es/gazeta/dias/1817/06/12/pdfs/GMD-1817-70.pdf#page=4","Abrir facsímil")</f>
        <v>Abrir facsímil</v>
      </c>
      <c r="K3498" s="3" t="s">
        <v>23</v>
      </c>
    </row>
    <row r="3499" spans="1:11" ht="42" customHeight="1">
      <c r="A3499" s="2" t="s">
        <v>8384</v>
      </c>
      <c r="B3499" s="2" t="s">
        <v>8385</v>
      </c>
      <c r="C3499" s="2" t="s">
        <v>36</v>
      </c>
      <c r="D3499" s="2" t="s">
        <v>37</v>
      </c>
      <c r="E3499" s="5">
        <v>-30060</v>
      </c>
      <c r="F3499" s="3" t="s">
        <v>446</v>
      </c>
      <c r="G3499" s="3" t="s">
        <v>20</v>
      </c>
      <c r="H3499" s="2" t="s">
        <v>21</v>
      </c>
      <c r="I3499" s="2" t="s">
        <v>8386</v>
      </c>
      <c r="J3499" s="3" t="str">
        <f>HYPERLINK("https://www.boe.es/gazeta/dias/1817/09/11/pdfs/GMD-1817-109.pdf#page=7","Abrir facsímil")</f>
        <v>Abrir facsímil</v>
      </c>
      <c r="K3499" s="3" t="s">
        <v>23</v>
      </c>
    </row>
    <row r="3500" spans="1:11" ht="42" customHeight="1">
      <c r="A3500" s="2" t="s">
        <v>8387</v>
      </c>
      <c r="B3500" s="2" t="s">
        <v>8388</v>
      </c>
      <c r="C3500" s="2" t="s">
        <v>49</v>
      </c>
      <c r="D3500" s="2" t="s">
        <v>44</v>
      </c>
      <c r="E3500" s="5">
        <v>-30198</v>
      </c>
      <c r="F3500" s="3" t="s">
        <v>2185</v>
      </c>
      <c r="G3500" s="3" t="s">
        <v>72</v>
      </c>
      <c r="H3500" s="2" t="s">
        <v>21</v>
      </c>
      <c r="I3500" s="2" t="s">
        <v>8389</v>
      </c>
      <c r="J3500" s="3" t="str">
        <f>HYPERLINK("https://www.boe.es/gazeta/dias/1817/04/26/pdfs/GMD-1817-50.pdf#page=1","Abrir facsímil")</f>
        <v>Abrir facsímil</v>
      </c>
      <c r="K3500" s="3" t="s">
        <v>23</v>
      </c>
    </row>
    <row r="3501" spans="1:11" ht="42" customHeight="1">
      <c r="A3501" s="2" t="s">
        <v>8387</v>
      </c>
      <c r="B3501" s="2" t="s">
        <v>8388</v>
      </c>
      <c r="C3501" s="2" t="s">
        <v>17</v>
      </c>
      <c r="D3501" s="2" t="s">
        <v>18</v>
      </c>
      <c r="E3501" s="5">
        <v>-30065</v>
      </c>
      <c r="F3501" s="3" t="s">
        <v>201</v>
      </c>
      <c r="G3501" s="3" t="s">
        <v>629</v>
      </c>
      <c r="H3501" s="2" t="s">
        <v>21</v>
      </c>
      <c r="I3501" s="2" t="s">
        <v>8390</v>
      </c>
      <c r="J3501" s="3" t="str">
        <f>HYPERLINK("https://www.boe.es/gazeta/dias/1817/09/06/pdfs/GMD-1817-107.pdf#page=2","Abrir facsímil")</f>
        <v>Abrir facsímil</v>
      </c>
      <c r="K3501" s="3" t="s">
        <v>23</v>
      </c>
    </row>
    <row r="3502" spans="1:11" ht="42" customHeight="1">
      <c r="A3502" s="2" t="s">
        <v>8391</v>
      </c>
      <c r="B3502" s="2" t="s">
        <v>8392</v>
      </c>
      <c r="C3502" s="2" t="s">
        <v>36</v>
      </c>
      <c r="D3502" s="2" t="s">
        <v>37</v>
      </c>
      <c r="E3502" s="5">
        <v>-30093</v>
      </c>
      <c r="F3502" s="3" t="s">
        <v>230</v>
      </c>
      <c r="G3502" s="3" t="s">
        <v>77</v>
      </c>
      <c r="H3502" s="2" t="s">
        <v>21</v>
      </c>
      <c r="I3502" s="2" t="s">
        <v>8393</v>
      </c>
      <c r="J3502" s="3" t="str">
        <f>HYPERLINK("https://www.boe.es/gazeta/dias/1817/08/09/pdfs/GMD-1817-95.pdf#page=8","Abrir facsímil")</f>
        <v>Abrir facsímil</v>
      </c>
      <c r="K3502" s="3" t="s">
        <v>23</v>
      </c>
    </row>
    <row r="3503" spans="1:11" ht="42" customHeight="1">
      <c r="A3503" s="2" t="s">
        <v>8394</v>
      </c>
      <c r="B3503" s="2" t="s">
        <v>8395</v>
      </c>
      <c r="C3503" s="2" t="s">
        <v>36</v>
      </c>
      <c r="D3503" s="2" t="s">
        <v>37</v>
      </c>
      <c r="E3503" s="5">
        <v>-30065</v>
      </c>
      <c r="F3503" s="3" t="s">
        <v>201</v>
      </c>
      <c r="G3503" s="3" t="s">
        <v>57</v>
      </c>
      <c r="H3503" s="2" t="s">
        <v>21</v>
      </c>
      <c r="I3503" s="2" t="s">
        <v>8396</v>
      </c>
      <c r="J3503" s="3" t="str">
        <f>HYPERLINK("https://www.boe.es/gazeta/dias/1817/09/06/pdfs/GMD-1817-107.pdf#page=6","Abrir facsímil")</f>
        <v>Abrir facsímil</v>
      </c>
      <c r="K3503" s="3" t="s">
        <v>23</v>
      </c>
    </row>
    <row r="3504" spans="1:11" ht="42" customHeight="1">
      <c r="A3504" s="2" t="s">
        <v>8397</v>
      </c>
      <c r="B3504" s="2" t="s">
        <v>8398</v>
      </c>
      <c r="C3504" s="2" t="s">
        <v>17</v>
      </c>
      <c r="D3504" s="2" t="s">
        <v>18</v>
      </c>
      <c r="E3504" s="5">
        <v>-30109</v>
      </c>
      <c r="F3504" s="3" t="s">
        <v>205</v>
      </c>
      <c r="G3504" s="3" t="s">
        <v>551</v>
      </c>
      <c r="H3504" s="2" t="s">
        <v>21</v>
      </c>
      <c r="I3504" s="2" t="s">
        <v>8399</v>
      </c>
      <c r="J3504" s="3" t="str">
        <f>HYPERLINK("https://www.boe.es/gazeta/dias/1817/07/24/pdfs/GMD-1817-88.pdf#page=3","Abrir facsímil")</f>
        <v>Abrir facsímil</v>
      </c>
      <c r="K3504" s="3" t="s">
        <v>23</v>
      </c>
    </row>
    <row r="3505" spans="1:11" ht="42" customHeight="1">
      <c r="A3505" s="2" t="s">
        <v>8400</v>
      </c>
      <c r="B3505" s="2" t="s">
        <v>8400</v>
      </c>
      <c r="C3505" s="2" t="s">
        <v>36</v>
      </c>
      <c r="D3505" s="2" t="s">
        <v>37</v>
      </c>
      <c r="E3505" s="5">
        <v>-30090</v>
      </c>
      <c r="F3505" s="3" t="s">
        <v>89</v>
      </c>
      <c r="G3505" s="3" t="s">
        <v>629</v>
      </c>
      <c r="H3505" s="2" t="s">
        <v>21</v>
      </c>
      <c r="I3505" s="2" t="s">
        <v>8401</v>
      </c>
      <c r="J3505" s="3" t="str">
        <f>HYPERLINK("https://www.boe.es/gazeta/dias/1817/08/12/pdfs/GMD-1817-96.pdf#page=2","Abrir facsímil")</f>
        <v>Abrir facsímil</v>
      </c>
      <c r="K3505" s="3" t="s">
        <v>23</v>
      </c>
    </row>
    <row r="3506" spans="1:11" ht="42" customHeight="1">
      <c r="A3506" s="2" t="s">
        <v>8402</v>
      </c>
      <c r="B3506" s="2" t="s">
        <v>8402</v>
      </c>
      <c r="C3506" s="2" t="s">
        <v>17</v>
      </c>
      <c r="D3506" s="2" t="s">
        <v>18</v>
      </c>
      <c r="E3506" s="5">
        <v>-30170</v>
      </c>
      <c r="F3506" s="3" t="s">
        <v>98</v>
      </c>
      <c r="G3506" s="3" t="s">
        <v>551</v>
      </c>
      <c r="H3506" s="2" t="s">
        <v>21</v>
      </c>
      <c r="I3506" s="2" t="s">
        <v>8403</v>
      </c>
      <c r="J3506" s="3" t="str">
        <f>HYPERLINK("https://www.boe.es/gazeta/dias/1817/05/24/pdfs/GMD-1817-62.pdf#page=3","Abrir facsímil")</f>
        <v>Abrir facsímil</v>
      </c>
      <c r="K3506" s="3" t="s">
        <v>23</v>
      </c>
    </row>
    <row r="3507" spans="1:11" ht="42" customHeight="1">
      <c r="A3507" s="2" t="s">
        <v>8402</v>
      </c>
      <c r="B3507" s="2" t="s">
        <v>8402</v>
      </c>
      <c r="C3507" s="2" t="s">
        <v>17</v>
      </c>
      <c r="D3507" s="2" t="s">
        <v>18</v>
      </c>
      <c r="E3507" s="5">
        <v>-30170</v>
      </c>
      <c r="F3507" s="3" t="s">
        <v>98</v>
      </c>
      <c r="G3507" s="3" t="s">
        <v>144</v>
      </c>
      <c r="H3507" s="2" t="s">
        <v>21</v>
      </c>
      <c r="I3507" s="2" t="s">
        <v>8404</v>
      </c>
      <c r="J3507" s="3" t="str">
        <f>HYPERLINK("https://www.boe.es/gazeta/dias/1817/05/24/pdfs/GMD-1817-62.pdf#page=4","Abrir facsímil")</f>
        <v>Abrir facsímil</v>
      </c>
      <c r="K3507" s="3" t="s">
        <v>23</v>
      </c>
    </row>
    <row r="3508" spans="1:11" ht="42" customHeight="1">
      <c r="A3508" s="2" t="s">
        <v>8405</v>
      </c>
      <c r="B3508" s="2" t="s">
        <v>8405</v>
      </c>
      <c r="C3508" s="2" t="s">
        <v>36</v>
      </c>
      <c r="D3508" s="2" t="s">
        <v>37</v>
      </c>
      <c r="E3508" s="5">
        <v>-30025</v>
      </c>
      <c r="F3508" s="3" t="s">
        <v>458</v>
      </c>
      <c r="G3508" s="3" t="s">
        <v>551</v>
      </c>
      <c r="H3508" s="2" t="s">
        <v>21</v>
      </c>
      <c r="I3508" s="2" t="s">
        <v>8406</v>
      </c>
      <c r="J3508" s="3" t="str">
        <f>HYPERLINK("https://www.boe.es/gazeta/dias/1817/10/16/pdfs/GMD-1817-124.pdf#page=3","Abrir facsímil")</f>
        <v>Abrir facsímil</v>
      </c>
      <c r="K3508" s="3" t="s">
        <v>23</v>
      </c>
    </row>
    <row r="3509" spans="1:11" ht="42" customHeight="1">
      <c r="A3509" s="2" t="s">
        <v>8407</v>
      </c>
      <c r="B3509" s="2" t="s">
        <v>8407</v>
      </c>
      <c r="C3509" s="2" t="s">
        <v>36</v>
      </c>
      <c r="D3509" s="2" t="s">
        <v>37</v>
      </c>
      <c r="E3509" s="5">
        <v>-30086</v>
      </c>
      <c r="F3509" s="3" t="s">
        <v>221</v>
      </c>
      <c r="G3509" s="3" t="s">
        <v>8408</v>
      </c>
      <c r="H3509" s="2" t="s">
        <v>21</v>
      </c>
      <c r="I3509" s="2" t="s">
        <v>8409</v>
      </c>
      <c r="J3509" s="3" t="str">
        <f>HYPERLINK("https://www.boe.es/gazeta/dias/1817/08/16/pdfs/GMD-1817-98.pdf#page=2","Abrir facsímil")</f>
        <v>Abrir facsímil</v>
      </c>
      <c r="K3509" s="3" t="s">
        <v>23</v>
      </c>
    </row>
    <row r="3510" spans="1:11" ht="42" customHeight="1">
      <c r="A3510" s="2" t="s">
        <v>8410</v>
      </c>
      <c r="B3510" s="2" t="s">
        <v>8410</v>
      </c>
      <c r="C3510" s="2" t="s">
        <v>97</v>
      </c>
      <c r="D3510" s="2" t="s">
        <v>44</v>
      </c>
      <c r="E3510" s="5">
        <v>-30300</v>
      </c>
      <c r="F3510" s="3" t="s">
        <v>164</v>
      </c>
      <c r="G3510" s="3" t="s">
        <v>629</v>
      </c>
      <c r="H3510" s="2" t="s">
        <v>21</v>
      </c>
      <c r="I3510" s="2" t="s">
        <v>8411</v>
      </c>
      <c r="J3510" s="3" t="str">
        <f>HYPERLINK("https://www.boe.es/gazeta/dias/1817/01/14/pdfs/GMD-1817-6.pdf#page=2","Abrir facsímil")</f>
        <v>Abrir facsímil</v>
      </c>
      <c r="K3510" s="3" t="s">
        <v>23</v>
      </c>
    </row>
    <row r="3511" spans="1:11" ht="42" customHeight="1">
      <c r="A3511" s="2" t="s">
        <v>8412</v>
      </c>
      <c r="B3511" s="2" t="s">
        <v>8412</v>
      </c>
      <c r="C3511" s="2" t="s">
        <v>17</v>
      </c>
      <c r="D3511" s="2" t="s">
        <v>18</v>
      </c>
      <c r="E3511" s="5">
        <v>-30130</v>
      </c>
      <c r="F3511" s="3" t="s">
        <v>768</v>
      </c>
      <c r="G3511" s="3" t="s">
        <v>72</v>
      </c>
      <c r="H3511" s="2" t="s">
        <v>21</v>
      </c>
      <c r="I3511" s="2" t="s">
        <v>8413</v>
      </c>
      <c r="J3511" s="3" t="str">
        <f>HYPERLINK("https://www.boe.es/gazeta/dias/1817/07/03/pdfs/GMD-1817-79.pdf#page=1","Abrir facsímil")</f>
        <v>Abrir facsímil</v>
      </c>
      <c r="K3511" s="3" t="s">
        <v>23</v>
      </c>
    </row>
    <row r="3512" spans="1:11" ht="42" customHeight="1">
      <c r="A3512" s="2" t="s">
        <v>8414</v>
      </c>
      <c r="B3512" s="2" t="s">
        <v>8414</v>
      </c>
      <c r="C3512" s="2" t="s">
        <v>36</v>
      </c>
      <c r="D3512" s="2" t="s">
        <v>37</v>
      </c>
      <c r="E3512" s="5">
        <v>-30018</v>
      </c>
      <c r="F3512" s="3" t="s">
        <v>757</v>
      </c>
      <c r="G3512" s="3" t="s">
        <v>551</v>
      </c>
      <c r="H3512" s="2" t="s">
        <v>21</v>
      </c>
      <c r="I3512" s="2" t="s">
        <v>8415</v>
      </c>
      <c r="J3512" s="3" t="str">
        <f>HYPERLINK("https://www.boe.es/gazeta/dias/1817/10/23/pdfs/GMD-1817-127.pdf#page=3","Abrir facsímil")</f>
        <v>Abrir facsímil</v>
      </c>
      <c r="K3512" s="3" t="s">
        <v>23</v>
      </c>
    </row>
    <row r="3513" spans="1:11" ht="42" customHeight="1">
      <c r="A3513" s="2" t="s">
        <v>8416</v>
      </c>
      <c r="B3513" s="2" t="s">
        <v>8417</v>
      </c>
      <c r="C3513" s="2" t="s">
        <v>43</v>
      </c>
      <c r="D3513" s="2" t="s">
        <v>44</v>
      </c>
      <c r="E3513" s="5">
        <v>-30081</v>
      </c>
      <c r="F3513" s="3" t="s">
        <v>133</v>
      </c>
      <c r="G3513" s="3" t="s">
        <v>629</v>
      </c>
      <c r="H3513" s="2" t="s">
        <v>21</v>
      </c>
      <c r="I3513" s="2" t="s">
        <v>8418</v>
      </c>
      <c r="J3513" s="3" t="str">
        <f>HYPERLINK("https://www.boe.es/gazeta/dias/1817/08/21/pdfs/GMD-1817-100.pdf#page=2","Abrir facsímil")</f>
        <v>Abrir facsímil</v>
      </c>
      <c r="K3513" s="3" t="s">
        <v>23</v>
      </c>
    </row>
    <row r="3514" spans="1:11" ht="42" customHeight="1">
      <c r="A3514" s="2" t="s">
        <v>8419</v>
      </c>
      <c r="B3514" s="2" t="s">
        <v>8420</v>
      </c>
      <c r="C3514" s="2" t="s">
        <v>510</v>
      </c>
      <c r="D3514" s="2" t="s">
        <v>44</v>
      </c>
      <c r="E3514" s="5">
        <v>-29995</v>
      </c>
      <c r="F3514" s="3" t="s">
        <v>514</v>
      </c>
      <c r="G3514" s="3" t="s">
        <v>72</v>
      </c>
      <c r="H3514" s="2" t="s">
        <v>21</v>
      </c>
      <c r="I3514" s="2" t="s">
        <v>8421</v>
      </c>
      <c r="J3514" s="3" t="str">
        <f>HYPERLINK("https://www.boe.es/gazeta/dias/1817/11/15/pdfs/GMD-1817-137.pdf#page=1","Abrir facsímil")</f>
        <v>Abrir facsímil</v>
      </c>
      <c r="K3514" s="3" t="s">
        <v>23</v>
      </c>
    </row>
    <row r="3515" spans="1:11" ht="42" customHeight="1">
      <c r="A3515" s="2" t="s">
        <v>8422</v>
      </c>
      <c r="B3515" s="2" t="s">
        <v>8423</v>
      </c>
      <c r="C3515" s="2" t="s">
        <v>97</v>
      </c>
      <c r="D3515" s="2" t="s">
        <v>44</v>
      </c>
      <c r="E3515" s="5">
        <v>-30284</v>
      </c>
      <c r="F3515" s="3" t="s">
        <v>741</v>
      </c>
      <c r="G3515" s="3" t="s">
        <v>77</v>
      </c>
      <c r="H3515" s="2" t="s">
        <v>21</v>
      </c>
      <c r="I3515" s="2" t="s">
        <v>8424</v>
      </c>
      <c r="J3515" s="3" t="str">
        <f>HYPERLINK("https://www.boe.es/gazeta/dias/1817/01/30/pdfs/GMD-1817-13.pdf#page=8","Abrir facsímil")</f>
        <v>Abrir facsímil</v>
      </c>
      <c r="K3515" s="3" t="s">
        <v>23</v>
      </c>
    </row>
    <row r="3516" spans="1:11" ht="42" customHeight="1">
      <c r="A3516" s="2" t="s">
        <v>8422</v>
      </c>
      <c r="B3516" s="2" t="s">
        <v>8423</v>
      </c>
      <c r="C3516" s="2" t="s">
        <v>97</v>
      </c>
      <c r="D3516" s="2" t="s">
        <v>44</v>
      </c>
      <c r="E3516" s="5">
        <v>-30163</v>
      </c>
      <c r="F3516" s="3" t="s">
        <v>166</v>
      </c>
      <c r="G3516" s="3" t="s">
        <v>2525</v>
      </c>
      <c r="H3516" s="2" t="s">
        <v>21</v>
      </c>
      <c r="I3516" s="2" t="s">
        <v>8425</v>
      </c>
      <c r="J3516" s="3" t="str">
        <f>HYPERLINK("https://www.boe.es/gazeta/dias/1817/05/31/pdfs/GMD-1817-65.pdf#page=8","Abrir facsímil")</f>
        <v>Abrir facsímil</v>
      </c>
      <c r="K3516" s="3" t="s">
        <v>23</v>
      </c>
    </row>
    <row r="3517" spans="1:11" ht="42" customHeight="1">
      <c r="A3517" s="2" t="s">
        <v>8426</v>
      </c>
      <c r="B3517" s="2" t="s">
        <v>8427</v>
      </c>
      <c r="C3517" s="2" t="s">
        <v>43</v>
      </c>
      <c r="D3517" s="2" t="s">
        <v>44</v>
      </c>
      <c r="E3517" s="5">
        <v>-30069</v>
      </c>
      <c r="F3517" s="3" t="s">
        <v>817</v>
      </c>
      <c r="G3517" s="3" t="s">
        <v>20</v>
      </c>
      <c r="H3517" s="2" t="s">
        <v>21</v>
      </c>
      <c r="I3517" s="2" t="s">
        <v>8428</v>
      </c>
      <c r="J3517" s="3" t="str">
        <f>HYPERLINK("https://www.boe.es/gazeta/dias/1817/09/02/pdfs/GMD-1817-105.pdf#page=7","Abrir facsímil")</f>
        <v>Abrir facsímil</v>
      </c>
      <c r="K3517" s="3" t="s">
        <v>23</v>
      </c>
    </row>
    <row r="3518" spans="1:11" ht="42" customHeight="1">
      <c r="A3518" s="2" t="s">
        <v>8429</v>
      </c>
      <c r="B3518" s="2" t="s">
        <v>8430</v>
      </c>
      <c r="C3518" s="2" t="s">
        <v>55</v>
      </c>
      <c r="D3518" s="2" t="s">
        <v>44</v>
      </c>
      <c r="E3518" s="5">
        <v>-30125</v>
      </c>
      <c r="F3518" s="3" t="s">
        <v>102</v>
      </c>
      <c r="G3518" s="3" t="s">
        <v>103</v>
      </c>
      <c r="H3518" s="2" t="s">
        <v>27</v>
      </c>
      <c r="I3518" s="2" t="s">
        <v>8431</v>
      </c>
      <c r="J3518" s="3" t="str">
        <f>HYPERLINK("https://www.boe.es/gazeta/dias/1817/07/08/pdfs/GMD-1817-81.pdf#page=12","Abrir facsímil")</f>
        <v>Abrir facsímil</v>
      </c>
      <c r="K3518" s="3" t="s">
        <v>29</v>
      </c>
    </row>
    <row r="3519" spans="1:11" ht="42" customHeight="1">
      <c r="A3519" s="2" t="s">
        <v>8432</v>
      </c>
      <c r="B3519" s="2" t="s">
        <v>8433</v>
      </c>
      <c r="C3519" s="2" t="s">
        <v>36</v>
      </c>
      <c r="D3519" s="2" t="s">
        <v>37</v>
      </c>
      <c r="E3519" s="5">
        <v>-30310</v>
      </c>
      <c r="F3519" s="3" t="s">
        <v>93</v>
      </c>
      <c r="G3519" s="3" t="s">
        <v>77</v>
      </c>
      <c r="H3519" s="2" t="s">
        <v>27</v>
      </c>
      <c r="I3519" s="2" t="s">
        <v>8434</v>
      </c>
      <c r="J3519" s="3" t="str">
        <f>HYPERLINK("https://www.boe.es/gazeta/dias/1817/01/04/pdfs/GMD-1817-2.pdf#page=8","Abrir facsímil")</f>
        <v>Abrir facsímil</v>
      </c>
      <c r="K3519" s="3" t="s">
        <v>29</v>
      </c>
    </row>
    <row r="3520" spans="1:11" ht="42" customHeight="1">
      <c r="A3520" s="2" t="s">
        <v>8435</v>
      </c>
      <c r="B3520" s="2" t="s">
        <v>8436</v>
      </c>
      <c r="C3520" s="2" t="s">
        <v>17</v>
      </c>
      <c r="D3520" s="2" t="s">
        <v>18</v>
      </c>
      <c r="E3520" s="5">
        <v>-30307</v>
      </c>
      <c r="F3520" s="3" t="s">
        <v>67</v>
      </c>
      <c r="G3520" s="3" t="s">
        <v>68</v>
      </c>
      <c r="H3520" s="2" t="s">
        <v>21</v>
      </c>
      <c r="I3520" s="2" t="s">
        <v>8437</v>
      </c>
      <c r="J3520" s="3" t="str">
        <f>HYPERLINK("https://www.boe.es/gazeta/dias/1817/01/07/pdfs/GMD-1817-3.pdf#page=8","Abrir facsímil")</f>
        <v>Abrir facsímil</v>
      </c>
      <c r="K3520" s="3" t="s">
        <v>23</v>
      </c>
    </row>
    <row r="3521" spans="1:11" ht="42" customHeight="1">
      <c r="A3521" s="2" t="s">
        <v>8435</v>
      </c>
      <c r="B3521" s="2" t="s">
        <v>8436</v>
      </c>
      <c r="C3521" s="2" t="s">
        <v>17</v>
      </c>
      <c r="D3521" s="2" t="s">
        <v>18</v>
      </c>
      <c r="E3521" s="5">
        <v>-30118</v>
      </c>
      <c r="F3521" s="3" t="s">
        <v>432</v>
      </c>
      <c r="G3521" s="3" t="s">
        <v>433</v>
      </c>
      <c r="H3521" s="2" t="s">
        <v>21</v>
      </c>
      <c r="I3521" s="2" t="s">
        <v>8438</v>
      </c>
      <c r="J3521" s="3" t="str">
        <f>HYPERLINK("https://www.boe.es/gazeta/dias/1817/07/15/pdfs/GMD-1817-84.pdf#page=8","Abrir facsímil")</f>
        <v>Abrir facsímil</v>
      </c>
      <c r="K3521" s="3" t="s">
        <v>23</v>
      </c>
    </row>
    <row r="3522" spans="1:11" ht="42" customHeight="1">
      <c r="A3522" s="2" t="s">
        <v>8439</v>
      </c>
      <c r="B3522" s="2" t="s">
        <v>8439</v>
      </c>
      <c r="C3522" s="2" t="s">
        <v>36</v>
      </c>
      <c r="D3522" s="2" t="s">
        <v>37</v>
      </c>
      <c r="E3522" s="5">
        <v>-30109</v>
      </c>
      <c r="F3522" s="3" t="s">
        <v>205</v>
      </c>
      <c r="G3522" s="3" t="s">
        <v>2831</v>
      </c>
      <c r="H3522" s="2" t="s">
        <v>21</v>
      </c>
      <c r="I3522" s="2" t="s">
        <v>8440</v>
      </c>
      <c r="J3522" s="3" t="str">
        <f>HYPERLINK("https://www.boe.es/gazeta/dias/1817/07/24/pdfs/GMD-1817-88.pdf#page=8","Abrir facsímil")</f>
        <v>Abrir facsímil</v>
      </c>
      <c r="K3522" s="3" t="s">
        <v>23</v>
      </c>
    </row>
    <row r="3523" spans="1:11" ht="42" customHeight="1">
      <c r="A3523" s="2" t="s">
        <v>8439</v>
      </c>
      <c r="B3523" s="2" t="s">
        <v>8439</v>
      </c>
      <c r="C3523" s="2" t="s">
        <v>36</v>
      </c>
      <c r="D3523" s="2" t="s">
        <v>37</v>
      </c>
      <c r="E3523" s="5">
        <v>-30109</v>
      </c>
      <c r="F3523" s="3" t="s">
        <v>205</v>
      </c>
      <c r="G3523" s="3" t="s">
        <v>314</v>
      </c>
      <c r="H3523" s="2" t="s">
        <v>21</v>
      </c>
      <c r="I3523" s="2" t="s">
        <v>8441</v>
      </c>
      <c r="J3523" s="3" t="str">
        <f>HYPERLINK("https://www.boe.es/gazeta/dias/1817/07/24/pdfs/GMD-1817-88.pdf#page=10","Abrir facsímil")</f>
        <v>Abrir facsímil</v>
      </c>
      <c r="K3523" s="3" t="s">
        <v>23</v>
      </c>
    </row>
    <row r="3524" spans="1:11" ht="42" customHeight="1">
      <c r="A3524" s="2" t="s">
        <v>8442</v>
      </c>
      <c r="B3524" s="2" t="s">
        <v>8443</v>
      </c>
      <c r="C3524" s="2" t="s">
        <v>49</v>
      </c>
      <c r="D3524" s="2" t="s">
        <v>44</v>
      </c>
      <c r="E3524" s="5">
        <v>-30286</v>
      </c>
      <c r="F3524" s="3" t="s">
        <v>354</v>
      </c>
      <c r="G3524" s="3" t="s">
        <v>77</v>
      </c>
      <c r="H3524" s="2" t="s">
        <v>21</v>
      </c>
      <c r="I3524" s="2" t="s">
        <v>8444</v>
      </c>
      <c r="J3524" s="3" t="str">
        <f>HYPERLINK("https://www.boe.es/gazeta/dias/1817/01/28/pdfs/GMD-1817-12.pdf#page=8","Abrir facsímil")</f>
        <v>Abrir facsímil</v>
      </c>
      <c r="K3524" s="3" t="s">
        <v>23</v>
      </c>
    </row>
    <row r="3525" spans="1:11" ht="42" customHeight="1">
      <c r="A3525" s="2" t="s">
        <v>8442</v>
      </c>
      <c r="B3525" s="2" t="s">
        <v>8443</v>
      </c>
      <c r="C3525" s="2" t="s">
        <v>36</v>
      </c>
      <c r="D3525" s="2" t="s">
        <v>37</v>
      </c>
      <c r="E3525" s="5">
        <v>-30081</v>
      </c>
      <c r="F3525" s="3" t="s">
        <v>133</v>
      </c>
      <c r="G3525" s="3" t="s">
        <v>82</v>
      </c>
      <c r="H3525" s="2" t="s">
        <v>21</v>
      </c>
      <c r="I3525" s="2" t="s">
        <v>8445</v>
      </c>
      <c r="J3525" s="3" t="str">
        <f>HYPERLINK("https://www.boe.es/gazeta/dias/1817/08/21/pdfs/GMD-1817-100.pdf#page=12","Abrir facsímil")</f>
        <v>Abrir facsímil</v>
      </c>
      <c r="K3525" s="3" t="s">
        <v>23</v>
      </c>
    </row>
    <row r="3526" spans="1:11" ht="42" customHeight="1">
      <c r="A3526" s="2" t="s">
        <v>8446</v>
      </c>
      <c r="B3526" s="2" t="s">
        <v>8447</v>
      </c>
      <c r="C3526" s="2" t="s">
        <v>17</v>
      </c>
      <c r="D3526" s="2" t="s">
        <v>18</v>
      </c>
      <c r="E3526" s="5">
        <v>-30305</v>
      </c>
      <c r="F3526" s="3" t="s">
        <v>405</v>
      </c>
      <c r="G3526" s="3" t="s">
        <v>77</v>
      </c>
      <c r="H3526" s="2" t="s">
        <v>21</v>
      </c>
      <c r="I3526" s="2" t="s">
        <v>8448</v>
      </c>
      <c r="J3526" s="3" t="str">
        <f>HYPERLINK("https://www.boe.es/gazeta/dias/1817/01/09/pdfs/GMD-1817-4.pdf#page=8","Abrir facsímil")</f>
        <v>Abrir facsímil</v>
      </c>
      <c r="K3526" s="3" t="s">
        <v>23</v>
      </c>
    </row>
    <row r="3527" spans="1:11" ht="42" customHeight="1">
      <c r="A3527" s="2" t="s">
        <v>8446</v>
      </c>
      <c r="B3527" s="2" t="s">
        <v>8447</v>
      </c>
      <c r="C3527" s="2" t="s">
        <v>17</v>
      </c>
      <c r="D3527" s="2" t="s">
        <v>18</v>
      </c>
      <c r="E3527" s="5">
        <v>-30261</v>
      </c>
      <c r="F3527" s="3" t="s">
        <v>226</v>
      </c>
      <c r="G3527" s="3" t="s">
        <v>20</v>
      </c>
      <c r="H3527" s="2" t="s">
        <v>21</v>
      </c>
      <c r="I3527" s="2" t="s">
        <v>8449</v>
      </c>
      <c r="J3527" s="3" t="str">
        <f>HYPERLINK("https://www.boe.es/gazeta/dias/1817/02/22/pdfs/GMD-1817-23.pdf#page=7","Abrir facsímil")</f>
        <v>Abrir facsímil</v>
      </c>
      <c r="K3527" s="3" t="s">
        <v>23</v>
      </c>
    </row>
    <row r="3528" spans="1:11" ht="42" customHeight="1">
      <c r="A3528" s="2" t="s">
        <v>8446</v>
      </c>
      <c r="B3528" s="2" t="s">
        <v>8447</v>
      </c>
      <c r="C3528" s="2" t="s">
        <v>17</v>
      </c>
      <c r="D3528" s="2" t="s">
        <v>18</v>
      </c>
      <c r="E3528" s="5">
        <v>-30258</v>
      </c>
      <c r="F3528" s="3" t="s">
        <v>234</v>
      </c>
      <c r="G3528" s="3" t="s">
        <v>77</v>
      </c>
      <c r="H3528" s="2" t="s">
        <v>21</v>
      </c>
      <c r="I3528" s="2" t="s">
        <v>8450</v>
      </c>
      <c r="J3528" s="3" t="str">
        <f>HYPERLINK("https://www.boe.es/gazeta/dias/1817/02/25/pdfs/GMD-1817-24.pdf#page=8","Abrir facsímil")</f>
        <v>Abrir facsímil</v>
      </c>
      <c r="K3528" s="3" t="s">
        <v>23</v>
      </c>
    </row>
    <row r="3529" spans="1:11" ht="42" customHeight="1">
      <c r="A3529" s="2" t="s">
        <v>8446</v>
      </c>
      <c r="B3529" s="2" t="s">
        <v>8447</v>
      </c>
      <c r="C3529" s="2" t="s">
        <v>36</v>
      </c>
      <c r="D3529" s="2" t="s">
        <v>37</v>
      </c>
      <c r="E3529" s="5">
        <v>-30172</v>
      </c>
      <c r="F3529" s="3" t="s">
        <v>991</v>
      </c>
      <c r="G3529" s="3" t="s">
        <v>77</v>
      </c>
      <c r="H3529" s="2" t="s">
        <v>21</v>
      </c>
      <c r="I3529" s="2" t="s">
        <v>8451</v>
      </c>
      <c r="J3529" s="3" t="str">
        <f>HYPERLINK("https://www.boe.es/gazeta/dias/1817/05/22/pdfs/GMD-1817-61.pdf#page=8","Abrir facsímil")</f>
        <v>Abrir facsímil</v>
      </c>
      <c r="K3529" s="3" t="s">
        <v>23</v>
      </c>
    </row>
    <row r="3530" spans="1:11" ht="42" customHeight="1">
      <c r="A3530" s="2" t="s">
        <v>8446</v>
      </c>
      <c r="B3530" s="2" t="s">
        <v>8447</v>
      </c>
      <c r="C3530" s="2" t="s">
        <v>17</v>
      </c>
      <c r="D3530" s="2" t="s">
        <v>18</v>
      </c>
      <c r="E3530" s="5">
        <v>-30121</v>
      </c>
      <c r="F3530" s="3" t="s">
        <v>851</v>
      </c>
      <c r="G3530" s="3" t="s">
        <v>77</v>
      </c>
      <c r="H3530" s="2" t="s">
        <v>21</v>
      </c>
      <c r="I3530" s="2" t="s">
        <v>8452</v>
      </c>
      <c r="J3530" s="3" t="str">
        <f>HYPERLINK("https://www.boe.es/gazeta/dias/1817/07/12/pdfs/GMD-1817-83.pdf#page=8","Abrir facsímil")</f>
        <v>Abrir facsímil</v>
      </c>
      <c r="K3530" s="3" t="s">
        <v>23</v>
      </c>
    </row>
    <row r="3531" spans="1:11" ht="42" customHeight="1">
      <c r="A3531" s="2" t="s">
        <v>8446</v>
      </c>
      <c r="B3531" s="2" t="s">
        <v>8447</v>
      </c>
      <c r="C3531" s="2" t="s">
        <v>17</v>
      </c>
      <c r="D3531" s="2" t="s">
        <v>18</v>
      </c>
      <c r="E3531" s="5">
        <v>-30111</v>
      </c>
      <c r="F3531" s="3" t="s">
        <v>1017</v>
      </c>
      <c r="G3531" s="3" t="s">
        <v>1018</v>
      </c>
      <c r="H3531" s="2" t="s">
        <v>21</v>
      </c>
      <c r="I3531" s="2" t="s">
        <v>8453</v>
      </c>
      <c r="J3531" s="3" t="str">
        <f>HYPERLINK("https://www.boe.es/gazeta/dias/1817/07/22/pdfs/GMD-1817-87.pdf#page=8","Abrir facsímil")</f>
        <v>Abrir facsímil</v>
      </c>
      <c r="K3531" s="3" t="s">
        <v>23</v>
      </c>
    </row>
    <row r="3532" spans="1:11" ht="42" customHeight="1">
      <c r="A3532" s="2" t="s">
        <v>8446</v>
      </c>
      <c r="B3532" s="2" t="s">
        <v>8447</v>
      </c>
      <c r="C3532" s="2" t="s">
        <v>17</v>
      </c>
      <c r="D3532" s="2" t="s">
        <v>18</v>
      </c>
      <c r="E3532" s="5">
        <v>-30088</v>
      </c>
      <c r="F3532" s="3" t="s">
        <v>244</v>
      </c>
      <c r="G3532" s="3" t="s">
        <v>245</v>
      </c>
      <c r="H3532" s="2" t="s">
        <v>21</v>
      </c>
      <c r="I3532" s="2" t="s">
        <v>8454</v>
      </c>
      <c r="J3532" s="3" t="str">
        <f>HYPERLINK("https://www.boe.es/gazeta/dias/1817/08/14/pdfs/GMD-1817-97.pdf#page=8","Abrir facsímil")</f>
        <v>Abrir facsímil</v>
      </c>
      <c r="K3532" s="3" t="s">
        <v>23</v>
      </c>
    </row>
    <row r="3533" spans="1:11" ht="42" customHeight="1">
      <c r="A3533" s="2" t="s">
        <v>8446</v>
      </c>
      <c r="B3533" s="2" t="s">
        <v>8447</v>
      </c>
      <c r="C3533" s="2" t="s">
        <v>17</v>
      </c>
      <c r="D3533" s="2" t="s">
        <v>18</v>
      </c>
      <c r="E3533" s="5">
        <v>-30065</v>
      </c>
      <c r="F3533" s="3" t="s">
        <v>201</v>
      </c>
      <c r="G3533" s="3" t="s">
        <v>77</v>
      </c>
      <c r="H3533" s="2" t="s">
        <v>21</v>
      </c>
      <c r="I3533" s="2" t="s">
        <v>8455</v>
      </c>
      <c r="J3533" s="3" t="str">
        <f>HYPERLINK("https://www.boe.es/gazeta/dias/1817/09/06/pdfs/GMD-1817-107.pdf#page=8","Abrir facsímil")</f>
        <v>Abrir facsímil</v>
      </c>
      <c r="K3533" s="3" t="s">
        <v>23</v>
      </c>
    </row>
    <row r="3534" spans="1:11" ht="42" customHeight="1">
      <c r="A3534" s="2" t="s">
        <v>8446</v>
      </c>
      <c r="B3534" s="2" t="s">
        <v>8447</v>
      </c>
      <c r="C3534" s="2" t="s">
        <v>138</v>
      </c>
      <c r="D3534" s="2" t="s">
        <v>44</v>
      </c>
      <c r="E3534" s="5">
        <v>-30051</v>
      </c>
      <c r="F3534" s="3" t="s">
        <v>26</v>
      </c>
      <c r="G3534" s="3" t="s">
        <v>77</v>
      </c>
      <c r="H3534" s="2" t="s">
        <v>21</v>
      </c>
      <c r="I3534" s="2" t="s">
        <v>8456</v>
      </c>
      <c r="J3534" s="3" t="str">
        <f>HYPERLINK("https://www.boe.es/gazeta/dias/1817/09/20/pdfs/GMD-1817-113.pdf#page=8","Abrir facsímil")</f>
        <v>Abrir facsímil</v>
      </c>
      <c r="K3534" s="3" t="s">
        <v>23</v>
      </c>
    </row>
    <row r="3535" spans="1:11" ht="42" customHeight="1">
      <c r="A3535" s="2" t="s">
        <v>8446</v>
      </c>
      <c r="B3535" s="2" t="s">
        <v>8447</v>
      </c>
      <c r="C3535" s="2" t="s">
        <v>17</v>
      </c>
      <c r="D3535" s="2" t="s">
        <v>18</v>
      </c>
      <c r="E3535" s="5">
        <v>-30039</v>
      </c>
      <c r="F3535" s="3" t="s">
        <v>558</v>
      </c>
      <c r="G3535" s="3" t="s">
        <v>20</v>
      </c>
      <c r="H3535" s="2" t="s">
        <v>21</v>
      </c>
      <c r="I3535" s="2" t="s">
        <v>8457</v>
      </c>
      <c r="J3535" s="3" t="str">
        <f>HYPERLINK("https://www.boe.es/gazeta/dias/1817/10/02/pdfs/GMD-1817-118.pdf#page=7","Abrir facsímil")</f>
        <v>Abrir facsímil</v>
      </c>
      <c r="K3535" s="3" t="s">
        <v>23</v>
      </c>
    </row>
    <row r="3536" spans="1:11" ht="42" customHeight="1">
      <c r="A3536" s="2" t="s">
        <v>8446</v>
      </c>
      <c r="B3536" s="2" t="s">
        <v>8447</v>
      </c>
      <c r="C3536" s="2" t="s">
        <v>17</v>
      </c>
      <c r="D3536" s="2" t="s">
        <v>18</v>
      </c>
      <c r="E3536" s="5">
        <v>-30030</v>
      </c>
      <c r="F3536" s="3" t="s">
        <v>508</v>
      </c>
      <c r="G3536" s="3" t="s">
        <v>112</v>
      </c>
      <c r="H3536" s="2" t="s">
        <v>21</v>
      </c>
      <c r="I3536" s="2" t="s">
        <v>8458</v>
      </c>
      <c r="J3536" s="3" t="str">
        <f>HYPERLINK("https://www.boe.es/gazeta/dias/1817/10/11/pdfs/GMD-1817-122.pdf#page=11","Abrir facsímil")</f>
        <v>Abrir facsímil</v>
      </c>
      <c r="K3536" s="3" t="s">
        <v>23</v>
      </c>
    </row>
    <row r="3537" spans="1:11" ht="42" customHeight="1">
      <c r="A3537" s="2" t="s">
        <v>8446</v>
      </c>
      <c r="B3537" s="2" t="s">
        <v>8447</v>
      </c>
      <c r="C3537" s="2" t="s">
        <v>17</v>
      </c>
      <c r="D3537" s="2" t="s">
        <v>18</v>
      </c>
      <c r="E3537" s="5">
        <v>-30027</v>
      </c>
      <c r="F3537" s="3" t="s">
        <v>173</v>
      </c>
      <c r="G3537" s="3" t="s">
        <v>77</v>
      </c>
      <c r="H3537" s="2" t="s">
        <v>21</v>
      </c>
      <c r="I3537" s="2" t="s">
        <v>8459</v>
      </c>
      <c r="J3537" s="3" t="str">
        <f>HYPERLINK("https://www.boe.es/gazeta/dias/1817/10/14/pdfs/GMD-1817-123.pdf#page=8","Abrir facsímil")</f>
        <v>Abrir facsímil</v>
      </c>
      <c r="K3537" s="3" t="s">
        <v>23</v>
      </c>
    </row>
    <row r="3538" spans="1:11" ht="42" customHeight="1">
      <c r="A3538" s="2" t="s">
        <v>8446</v>
      </c>
      <c r="B3538" s="2" t="s">
        <v>8447</v>
      </c>
      <c r="C3538" s="2" t="s">
        <v>138</v>
      </c>
      <c r="D3538" s="2" t="s">
        <v>44</v>
      </c>
      <c r="E3538" s="5">
        <v>-30009</v>
      </c>
      <c r="F3538" s="3" t="s">
        <v>512</v>
      </c>
      <c r="G3538" s="3" t="s">
        <v>77</v>
      </c>
      <c r="H3538" s="2" t="s">
        <v>21</v>
      </c>
      <c r="I3538" s="2" t="s">
        <v>8460</v>
      </c>
      <c r="J3538" s="3" t="str">
        <f>HYPERLINK("https://www.boe.es/gazeta/dias/1817/11/01/pdfs/GMD-1817-131.pdf#page=8","Abrir facsímil")</f>
        <v>Abrir facsímil</v>
      </c>
      <c r="K3538" s="3" t="s">
        <v>23</v>
      </c>
    </row>
    <row r="3539" spans="1:11" ht="42" customHeight="1">
      <c r="A3539" s="2" t="s">
        <v>8446</v>
      </c>
      <c r="B3539" s="2" t="s">
        <v>8447</v>
      </c>
      <c r="C3539" s="2" t="s">
        <v>138</v>
      </c>
      <c r="D3539" s="2" t="s">
        <v>44</v>
      </c>
      <c r="E3539" s="5">
        <v>-29997</v>
      </c>
      <c r="F3539" s="3" t="s">
        <v>652</v>
      </c>
      <c r="G3539" s="3" t="s">
        <v>3059</v>
      </c>
      <c r="H3539" s="2" t="s">
        <v>21</v>
      </c>
      <c r="I3539" s="2" t="s">
        <v>8461</v>
      </c>
      <c r="J3539" s="3" t="str">
        <f>HYPERLINK("https://www.boe.es/gazeta/dias/1817/11/13/pdfs/GMD-1817-136.pdf#page=12","Abrir facsímil")</f>
        <v>Abrir facsímil</v>
      </c>
      <c r="K3539" s="3" t="s">
        <v>23</v>
      </c>
    </row>
    <row r="3540" spans="1:11" ht="42" customHeight="1">
      <c r="A3540" s="2" t="s">
        <v>8446</v>
      </c>
      <c r="B3540" s="2" t="s">
        <v>8447</v>
      </c>
      <c r="C3540" s="2" t="s">
        <v>17</v>
      </c>
      <c r="D3540" s="2" t="s">
        <v>18</v>
      </c>
      <c r="E3540" s="5">
        <v>-29957</v>
      </c>
      <c r="F3540" s="3" t="s">
        <v>1001</v>
      </c>
      <c r="G3540" s="3" t="s">
        <v>3561</v>
      </c>
      <c r="H3540" s="2" t="s">
        <v>21</v>
      </c>
      <c r="I3540" s="2" t="s">
        <v>8462</v>
      </c>
      <c r="J3540" s="3" t="str">
        <f>HYPERLINK("https://www.boe.es/gazeta/dias/1817/12/23/pdfs/GMD-1817-153.pdf#page=8","Abrir facsímil")</f>
        <v>Abrir facsímil</v>
      </c>
      <c r="K3540" s="3" t="s">
        <v>23</v>
      </c>
    </row>
    <row r="3541" spans="1:11" ht="42" customHeight="1">
      <c r="A3541" s="2" t="s">
        <v>8463</v>
      </c>
      <c r="B3541" s="2" t="s">
        <v>8463</v>
      </c>
      <c r="C3541" s="2" t="s">
        <v>36</v>
      </c>
      <c r="D3541" s="2" t="s">
        <v>37</v>
      </c>
      <c r="E3541" s="5">
        <v>-30039</v>
      </c>
      <c r="F3541" s="3" t="s">
        <v>558</v>
      </c>
      <c r="G3541" s="3" t="s">
        <v>39</v>
      </c>
      <c r="H3541" s="2" t="s">
        <v>21</v>
      </c>
      <c r="I3541" s="2" t="s">
        <v>8464</v>
      </c>
      <c r="J3541" s="3" t="str">
        <f>HYPERLINK("https://www.boe.es/gazeta/dias/1817/10/02/pdfs/GMD-1817-118.pdf#page=5","Abrir facsímil")</f>
        <v>Abrir facsímil</v>
      </c>
      <c r="K3541" s="3" t="s">
        <v>23</v>
      </c>
    </row>
    <row r="3542" spans="1:11" ht="42" customHeight="1">
      <c r="A3542" s="2" t="s">
        <v>8465</v>
      </c>
      <c r="B3542" s="2" t="s">
        <v>8465</v>
      </c>
      <c r="C3542" s="2" t="s">
        <v>17</v>
      </c>
      <c r="D3542" s="2" t="s">
        <v>18</v>
      </c>
      <c r="E3542" s="5">
        <v>-30135</v>
      </c>
      <c r="F3542" s="3" t="s">
        <v>239</v>
      </c>
      <c r="G3542" s="3" t="s">
        <v>2853</v>
      </c>
      <c r="H3542" s="2" t="s">
        <v>21</v>
      </c>
      <c r="I3542" s="2" t="s">
        <v>8466</v>
      </c>
      <c r="J3542" s="3" t="str">
        <f>HYPERLINK("https://www.boe.es/gazeta/dias/1817/06/28/pdfs/GMD-1817-77.pdf#page=6","Abrir facsímil")</f>
        <v>Abrir facsímil</v>
      </c>
      <c r="K3542" s="3" t="s">
        <v>23</v>
      </c>
    </row>
    <row r="3543" spans="1:11" ht="42" customHeight="1">
      <c r="A3543" s="2" t="s">
        <v>8465</v>
      </c>
      <c r="B3543" s="2" t="s">
        <v>8465</v>
      </c>
      <c r="C3543" s="2" t="s">
        <v>36</v>
      </c>
      <c r="D3543" s="2" t="s">
        <v>37</v>
      </c>
      <c r="E3543" s="5">
        <v>-30046</v>
      </c>
      <c r="F3543" s="3" t="s">
        <v>214</v>
      </c>
      <c r="G3543" s="3" t="s">
        <v>112</v>
      </c>
      <c r="H3543" s="2" t="s">
        <v>21</v>
      </c>
      <c r="I3543" s="2" t="s">
        <v>8467</v>
      </c>
      <c r="J3543" s="3" t="str">
        <f>HYPERLINK("https://www.boe.es/gazeta/dias/1817/09/25/pdfs/GMD-1817-115.pdf#page=11","Abrir facsímil")</f>
        <v>Abrir facsímil</v>
      </c>
      <c r="K3543" s="3" t="s">
        <v>23</v>
      </c>
    </row>
    <row r="3544" spans="1:11" ht="42" customHeight="1">
      <c r="A3544" s="2" t="s">
        <v>8465</v>
      </c>
      <c r="B3544" s="2" t="s">
        <v>8465</v>
      </c>
      <c r="C3544" s="2" t="s">
        <v>17</v>
      </c>
      <c r="D3544" s="2" t="s">
        <v>18</v>
      </c>
      <c r="E3544" s="5">
        <v>-30027</v>
      </c>
      <c r="F3544" s="3" t="s">
        <v>173</v>
      </c>
      <c r="G3544" s="3" t="s">
        <v>39</v>
      </c>
      <c r="H3544" s="2" t="s">
        <v>21</v>
      </c>
      <c r="I3544" s="2" t="s">
        <v>8468</v>
      </c>
      <c r="J3544" s="3" t="str">
        <f>HYPERLINK("https://www.boe.es/gazeta/dias/1817/10/14/pdfs/GMD-1817-123.pdf#page=5","Abrir facsímil")</f>
        <v>Abrir facsímil</v>
      </c>
      <c r="K3544" s="3" t="s">
        <v>23</v>
      </c>
    </row>
    <row r="3545" spans="1:11" ht="42" customHeight="1">
      <c r="A3545" s="2" t="s">
        <v>8465</v>
      </c>
      <c r="B3545" s="2" t="s">
        <v>8465</v>
      </c>
      <c r="C3545" s="2" t="s">
        <v>17</v>
      </c>
      <c r="D3545" s="2" t="s">
        <v>18</v>
      </c>
      <c r="E3545" s="5">
        <v>-30004</v>
      </c>
      <c r="F3545" s="3" t="s">
        <v>329</v>
      </c>
      <c r="G3545" s="3" t="s">
        <v>20</v>
      </c>
      <c r="H3545" s="2" t="s">
        <v>21</v>
      </c>
      <c r="I3545" s="2" t="s">
        <v>8469</v>
      </c>
      <c r="J3545" s="3" t="str">
        <f>HYPERLINK("https://www.boe.es/gazeta/dias/1817/11/06/pdfs/GMD-1817-133.pdf#page=7","Abrir facsímil")</f>
        <v>Abrir facsímil</v>
      </c>
      <c r="K3545" s="3" t="s">
        <v>23</v>
      </c>
    </row>
    <row r="3546" spans="1:11" ht="42" customHeight="1">
      <c r="A3546" s="2" t="s">
        <v>8465</v>
      </c>
      <c r="B3546" s="2" t="s">
        <v>8465</v>
      </c>
      <c r="C3546" s="2" t="s">
        <v>36</v>
      </c>
      <c r="D3546" s="2" t="s">
        <v>37</v>
      </c>
      <c r="E3546" s="5">
        <v>-29997</v>
      </c>
      <c r="F3546" s="3" t="s">
        <v>652</v>
      </c>
      <c r="G3546" s="3" t="s">
        <v>1095</v>
      </c>
      <c r="H3546" s="2" t="s">
        <v>21</v>
      </c>
      <c r="I3546" s="2" t="s">
        <v>8470</v>
      </c>
      <c r="J3546" s="3" t="str">
        <f>HYPERLINK("https://www.boe.es/gazeta/dias/1817/11/13/pdfs/GMD-1817-136.pdf#page=10","Abrir facsímil")</f>
        <v>Abrir facsímil</v>
      </c>
      <c r="K3546" s="3" t="s">
        <v>23</v>
      </c>
    </row>
    <row r="3547" spans="1:11" ht="42" customHeight="1">
      <c r="A3547" s="2" t="s">
        <v>8465</v>
      </c>
      <c r="B3547" s="2" t="s">
        <v>8465</v>
      </c>
      <c r="C3547" s="2" t="s">
        <v>36</v>
      </c>
      <c r="D3547" s="2" t="s">
        <v>37</v>
      </c>
      <c r="E3547" s="5">
        <v>-29971</v>
      </c>
      <c r="F3547" s="3" t="s">
        <v>517</v>
      </c>
      <c r="G3547" s="3" t="s">
        <v>77</v>
      </c>
      <c r="H3547" s="2" t="s">
        <v>21</v>
      </c>
      <c r="I3547" s="2" t="s">
        <v>8471</v>
      </c>
      <c r="J3547" s="3" t="str">
        <f>HYPERLINK("https://www.boe.es/gazeta/dias/1817/12/09/pdfs/GMD-1817-147.pdf#page=8","Abrir facsímil")</f>
        <v>Abrir facsímil</v>
      </c>
      <c r="K3547" s="3" t="s">
        <v>23</v>
      </c>
    </row>
    <row r="3548" spans="1:11" ht="42" customHeight="1">
      <c r="A3548" s="2" t="s">
        <v>8472</v>
      </c>
      <c r="B3548" s="2" t="s">
        <v>8472</v>
      </c>
      <c r="C3548" s="2" t="s">
        <v>36</v>
      </c>
      <c r="D3548" s="2" t="s">
        <v>37</v>
      </c>
      <c r="E3548" s="5">
        <v>-29953</v>
      </c>
      <c r="F3548" s="3" t="s">
        <v>793</v>
      </c>
      <c r="G3548" s="3" t="s">
        <v>20</v>
      </c>
      <c r="H3548" s="2" t="s">
        <v>21</v>
      </c>
      <c r="I3548" s="2" t="s">
        <v>8473</v>
      </c>
      <c r="J3548" s="3" t="str">
        <f>HYPERLINK("https://www.boe.es/gazeta/dias/1817/12/27/pdfs/GMD-1817-155.pdf#page=7","Abrir facsímil")</f>
        <v>Abrir facsímil</v>
      </c>
      <c r="K3548" s="3" t="s">
        <v>23</v>
      </c>
    </row>
    <row r="3549" spans="1:11" ht="42" customHeight="1">
      <c r="A3549" s="2" t="s">
        <v>8474</v>
      </c>
      <c r="B3549" s="2" t="s">
        <v>8474</v>
      </c>
      <c r="C3549" s="2" t="s">
        <v>36</v>
      </c>
      <c r="D3549" s="2" t="s">
        <v>37</v>
      </c>
      <c r="E3549" s="5">
        <v>-29967</v>
      </c>
      <c r="F3549" s="3" t="s">
        <v>183</v>
      </c>
      <c r="G3549" s="3" t="s">
        <v>57</v>
      </c>
      <c r="H3549" s="2" t="s">
        <v>21</v>
      </c>
      <c r="I3549" s="2" t="s">
        <v>8475</v>
      </c>
      <c r="J3549" s="3" t="str">
        <f>HYPERLINK("https://www.boe.es/gazeta/dias/1817/12/13/pdfs/GMD-1817-149.pdf#page=6","Abrir facsímil")</f>
        <v>Abrir facsímil</v>
      </c>
      <c r="K3549" s="3" t="s">
        <v>23</v>
      </c>
    </row>
    <row r="3550" spans="1:11" ht="42" customHeight="1">
      <c r="A3550" s="2" t="s">
        <v>8476</v>
      </c>
      <c r="B3550" s="2" t="s">
        <v>8477</v>
      </c>
      <c r="C3550" s="2" t="s">
        <v>36</v>
      </c>
      <c r="D3550" s="2" t="s">
        <v>37</v>
      </c>
      <c r="E3550" s="5">
        <v>-29967</v>
      </c>
      <c r="F3550" s="3" t="s">
        <v>183</v>
      </c>
      <c r="G3550" s="3" t="s">
        <v>7850</v>
      </c>
      <c r="H3550" s="2" t="s">
        <v>21</v>
      </c>
      <c r="I3550" s="2" t="s">
        <v>8478</v>
      </c>
      <c r="J3550" s="3" t="str">
        <f>HYPERLINK("https://www.boe.es/gazeta/dias/1817/12/13/pdfs/GMD-1817-149.pdf#page=5","Abrir facsímil")</f>
        <v>Abrir facsímil</v>
      </c>
      <c r="K3550" s="3" t="s">
        <v>23</v>
      </c>
    </row>
    <row r="3551" spans="1:11" ht="42" customHeight="1">
      <c r="A3551" s="2" t="s">
        <v>8479</v>
      </c>
      <c r="B3551" s="2" t="s">
        <v>8480</v>
      </c>
      <c r="C3551" s="2" t="s">
        <v>43</v>
      </c>
      <c r="D3551" s="2" t="s">
        <v>44</v>
      </c>
      <c r="E3551" s="5">
        <v>-30158</v>
      </c>
      <c r="F3551" s="3" t="s">
        <v>305</v>
      </c>
      <c r="G3551" s="3" t="s">
        <v>77</v>
      </c>
      <c r="H3551" s="2" t="s">
        <v>21</v>
      </c>
      <c r="I3551" s="2" t="s">
        <v>8481</v>
      </c>
      <c r="J3551" s="3" t="str">
        <f>HYPERLINK("https://www.boe.es/gazeta/dias/1817/06/05/pdfs/GMD-1817-67.pdf#page=8","Abrir facsímil")</f>
        <v>Abrir facsímil</v>
      </c>
      <c r="K3551" s="3" t="s">
        <v>23</v>
      </c>
    </row>
    <row r="3552" spans="1:11" ht="42" customHeight="1">
      <c r="A3552" s="2" t="s">
        <v>8479</v>
      </c>
      <c r="B3552" s="2" t="s">
        <v>8480</v>
      </c>
      <c r="C3552" s="2" t="s">
        <v>43</v>
      </c>
      <c r="D3552" s="2" t="s">
        <v>44</v>
      </c>
      <c r="E3552" s="5">
        <v>-30139</v>
      </c>
      <c r="F3552" s="3" t="s">
        <v>993</v>
      </c>
      <c r="G3552" s="3" t="s">
        <v>77</v>
      </c>
      <c r="H3552" s="2" t="s">
        <v>21</v>
      </c>
      <c r="I3552" s="2" t="s">
        <v>8482</v>
      </c>
      <c r="J3552" s="3" t="str">
        <f>HYPERLINK("https://www.boe.es/gazeta/dias/1817/06/24/pdfs/GMD-1817-75.pdf#page=8","Abrir facsímil")</f>
        <v>Abrir facsímil</v>
      </c>
      <c r="K3552" s="3" t="s">
        <v>23</v>
      </c>
    </row>
    <row r="3553" spans="1:11" ht="42" customHeight="1">
      <c r="A3553" s="2" t="s">
        <v>8483</v>
      </c>
      <c r="B3553" s="2" t="s">
        <v>8484</v>
      </c>
      <c r="C3553" s="2" t="s">
        <v>55</v>
      </c>
      <c r="D3553" s="2" t="s">
        <v>44</v>
      </c>
      <c r="E3553" s="5">
        <v>-30226</v>
      </c>
      <c r="F3553" s="3" t="s">
        <v>416</v>
      </c>
      <c r="G3553" s="3" t="s">
        <v>77</v>
      </c>
      <c r="H3553" s="2" t="s">
        <v>21</v>
      </c>
      <c r="I3553" s="2" t="s">
        <v>8485</v>
      </c>
      <c r="J3553" s="3" t="str">
        <f>HYPERLINK("https://www.boe.es/gazeta/dias/1817/03/29/pdfs/GMD-1817-38.pdf#page=8","Abrir facsímil")</f>
        <v>Abrir facsímil</v>
      </c>
      <c r="K3553" s="3" t="s">
        <v>23</v>
      </c>
    </row>
    <row r="3554" spans="1:11" ht="42" customHeight="1">
      <c r="A3554" s="2" t="s">
        <v>8486</v>
      </c>
      <c r="B3554" s="2" t="s">
        <v>8486</v>
      </c>
      <c r="C3554" s="2" t="s">
        <v>17</v>
      </c>
      <c r="D3554" s="2" t="s">
        <v>18</v>
      </c>
      <c r="E3554" s="5">
        <v>-30053</v>
      </c>
      <c r="F3554" s="3" t="s">
        <v>129</v>
      </c>
      <c r="G3554" s="3" t="s">
        <v>7320</v>
      </c>
      <c r="H3554" s="2" t="s">
        <v>21</v>
      </c>
      <c r="I3554" s="2" t="s">
        <v>8487</v>
      </c>
      <c r="J3554" s="3" t="str">
        <f>HYPERLINK("https://www.boe.es/gazeta/dias/1817/09/18/pdfs/GMD-1817-112.pdf#page=2","Abrir facsímil")</f>
        <v>Abrir facsímil</v>
      </c>
      <c r="K3554" s="3" t="s">
        <v>23</v>
      </c>
    </row>
    <row r="3555" spans="1:11" ht="42" customHeight="1">
      <c r="A3555" s="2" t="s">
        <v>8488</v>
      </c>
      <c r="B3555" s="2" t="s">
        <v>8489</v>
      </c>
      <c r="C3555" s="2" t="s">
        <v>36</v>
      </c>
      <c r="D3555" s="2" t="s">
        <v>37</v>
      </c>
      <c r="E3555" s="5">
        <v>-30212</v>
      </c>
      <c r="F3555" s="3" t="s">
        <v>745</v>
      </c>
      <c r="G3555" s="3" t="s">
        <v>39</v>
      </c>
      <c r="H3555" s="2" t="s">
        <v>27</v>
      </c>
      <c r="I3555" s="2" t="s">
        <v>8490</v>
      </c>
      <c r="J3555" s="3" t="str">
        <f>HYPERLINK("https://www.boe.es/gazeta/dias/1817/04/12/pdfs/GMD-1817-44.pdf#page=5","Abrir facsímil")</f>
        <v>Abrir facsímil</v>
      </c>
      <c r="K3555" s="3" t="s">
        <v>29</v>
      </c>
    </row>
    <row r="3556" spans="1:11" ht="42" customHeight="1">
      <c r="A3556" s="2" t="s">
        <v>8491</v>
      </c>
      <c r="B3556" s="2" t="s">
        <v>8492</v>
      </c>
      <c r="C3556" s="2" t="s">
        <v>43</v>
      </c>
      <c r="D3556" s="2" t="s">
        <v>44</v>
      </c>
      <c r="E3556" s="5">
        <v>-30265</v>
      </c>
      <c r="F3556" s="3" t="s">
        <v>107</v>
      </c>
      <c r="G3556" s="3" t="s">
        <v>4980</v>
      </c>
      <c r="H3556" s="2" t="s">
        <v>21</v>
      </c>
      <c r="I3556" s="2" t="s">
        <v>8493</v>
      </c>
      <c r="J3556" s="3" t="str">
        <f>HYPERLINK("https://www.boe.es/gazeta/dias/1817/02/18/pdfs/GMD-1817-21.pdf#page=4","Abrir facsímil")</f>
        <v>Abrir facsímil</v>
      </c>
      <c r="K3556" s="3" t="s">
        <v>23</v>
      </c>
    </row>
    <row r="3557" spans="1:11" ht="42" customHeight="1">
      <c r="A3557" s="2" t="s">
        <v>8494</v>
      </c>
      <c r="B3557" s="2" t="s">
        <v>8494</v>
      </c>
      <c r="C3557" s="2" t="s">
        <v>36</v>
      </c>
      <c r="D3557" s="2" t="s">
        <v>37</v>
      </c>
      <c r="E3557" s="5">
        <v>-30081</v>
      </c>
      <c r="F3557" s="3" t="s">
        <v>133</v>
      </c>
      <c r="G3557" s="3" t="s">
        <v>39</v>
      </c>
      <c r="H3557" s="2" t="s">
        <v>21</v>
      </c>
      <c r="I3557" s="2" t="s">
        <v>8495</v>
      </c>
      <c r="J3557" s="3" t="str">
        <f>HYPERLINK("https://www.boe.es/gazeta/dias/1817/08/21/pdfs/GMD-1817-100.pdf#page=5","Abrir facsímil")</f>
        <v>Abrir facsímil</v>
      </c>
      <c r="K3557" s="3" t="s">
        <v>23</v>
      </c>
    </row>
    <row r="3558" spans="1:11" ht="42" customHeight="1">
      <c r="A3558" s="2" t="s">
        <v>8496</v>
      </c>
      <c r="B3558" s="2" t="s">
        <v>8497</v>
      </c>
      <c r="C3558" s="2" t="s">
        <v>43</v>
      </c>
      <c r="D3558" s="2" t="s">
        <v>44</v>
      </c>
      <c r="E3558" s="5">
        <v>-30261</v>
      </c>
      <c r="F3558" s="3" t="s">
        <v>226</v>
      </c>
      <c r="G3558" s="3" t="s">
        <v>39</v>
      </c>
      <c r="H3558" s="2" t="s">
        <v>21</v>
      </c>
      <c r="I3558" s="2" t="s">
        <v>8498</v>
      </c>
      <c r="J3558" s="3" t="str">
        <f>HYPERLINK("https://www.boe.es/gazeta/dias/1817/02/22/pdfs/GMD-1817-23.pdf#page=5","Abrir facsímil")</f>
        <v>Abrir facsímil</v>
      </c>
      <c r="K3558" s="3" t="s">
        <v>23</v>
      </c>
    </row>
    <row r="3559" spans="1:11" ht="42" customHeight="1">
      <c r="A3559" s="2" t="s">
        <v>8499</v>
      </c>
      <c r="B3559" s="2" t="s">
        <v>8500</v>
      </c>
      <c r="C3559" s="2" t="s">
        <v>36</v>
      </c>
      <c r="D3559" s="2" t="s">
        <v>37</v>
      </c>
      <c r="E3559" s="5">
        <v>-29960</v>
      </c>
      <c r="F3559" s="3" t="s">
        <v>657</v>
      </c>
      <c r="G3559" s="3" t="s">
        <v>57</v>
      </c>
      <c r="H3559" s="2" t="s">
        <v>21</v>
      </c>
      <c r="I3559" s="2" t="s">
        <v>8501</v>
      </c>
      <c r="J3559" s="3" t="str">
        <f>HYPERLINK("https://www.boe.es/gazeta/dias/1817/12/20/pdfs/GMD-1817-152.pdf#page=6","Abrir facsímil")</f>
        <v>Abrir facsímil</v>
      </c>
      <c r="K3559" s="3" t="s">
        <v>23</v>
      </c>
    </row>
    <row r="3560" spans="1:11" ht="42" customHeight="1">
      <c r="A3560" s="2" t="s">
        <v>8502</v>
      </c>
      <c r="B3560" s="2" t="s">
        <v>8503</v>
      </c>
      <c r="C3560" s="2" t="s">
        <v>43</v>
      </c>
      <c r="D3560" s="2" t="s">
        <v>44</v>
      </c>
      <c r="E3560" s="5">
        <v>-30310</v>
      </c>
      <c r="F3560" s="3" t="s">
        <v>93</v>
      </c>
      <c r="G3560" s="3" t="s">
        <v>57</v>
      </c>
      <c r="H3560" s="2" t="s">
        <v>27</v>
      </c>
      <c r="I3560" s="2" t="s">
        <v>8504</v>
      </c>
      <c r="J3560" s="3" t="str">
        <f>HYPERLINK("https://www.boe.es/gazeta/dias/1817/01/04/pdfs/GMD-1817-2.pdf#page=6","Abrir facsímil")</f>
        <v>Abrir facsímil</v>
      </c>
      <c r="K3560" s="3" t="s">
        <v>29</v>
      </c>
    </row>
    <row r="3561" spans="1:11" ht="42" customHeight="1">
      <c r="A3561" s="2" t="s">
        <v>8505</v>
      </c>
      <c r="B3561" s="2" t="s">
        <v>8506</v>
      </c>
      <c r="C3561" s="2" t="s">
        <v>17</v>
      </c>
      <c r="D3561" s="2" t="s">
        <v>18</v>
      </c>
      <c r="E3561" s="5">
        <v>-30102</v>
      </c>
      <c r="F3561" s="3" t="s">
        <v>502</v>
      </c>
      <c r="G3561" s="3" t="s">
        <v>72</v>
      </c>
      <c r="H3561" s="2" t="s">
        <v>21</v>
      </c>
      <c r="I3561" s="2" t="s">
        <v>8507</v>
      </c>
      <c r="J3561" s="3" t="str">
        <f>HYPERLINK("https://www.boe.es/gazeta/dias/1817/07/31/pdfs/GMD-1817-91.pdf#page=1","Abrir facsímil")</f>
        <v>Abrir facsímil</v>
      </c>
      <c r="K3561" s="3" t="s">
        <v>23</v>
      </c>
    </row>
    <row r="3562" spans="1:11" ht="42" customHeight="1">
      <c r="A3562" s="2" t="s">
        <v>8508</v>
      </c>
      <c r="B3562" s="2" t="s">
        <v>8509</v>
      </c>
      <c r="C3562" s="2" t="s">
        <v>36</v>
      </c>
      <c r="D3562" s="2" t="s">
        <v>37</v>
      </c>
      <c r="E3562" s="5">
        <v>-30151</v>
      </c>
      <c r="F3562" s="3" t="s">
        <v>1422</v>
      </c>
      <c r="G3562" s="3" t="s">
        <v>77</v>
      </c>
      <c r="H3562" s="2" t="s">
        <v>21</v>
      </c>
      <c r="I3562" s="2" t="s">
        <v>8510</v>
      </c>
      <c r="J3562" s="3" t="str">
        <f>HYPERLINK("https://www.boe.es/gazeta/dias/1817/06/12/pdfs/GMD-1817-70.pdf#page=8","Abrir facsímil")</f>
        <v>Abrir facsímil</v>
      </c>
      <c r="K3562" s="3" t="s">
        <v>23</v>
      </c>
    </row>
    <row r="3563" spans="1:11" ht="42" customHeight="1">
      <c r="A3563" s="2" t="s">
        <v>8511</v>
      </c>
      <c r="B3563" s="2" t="s">
        <v>8512</v>
      </c>
      <c r="C3563" s="2" t="s">
        <v>43</v>
      </c>
      <c r="D3563" s="2" t="s">
        <v>44</v>
      </c>
      <c r="E3563" s="5">
        <v>-30130</v>
      </c>
      <c r="F3563" s="3" t="s">
        <v>768</v>
      </c>
      <c r="G3563" s="3" t="s">
        <v>144</v>
      </c>
      <c r="H3563" s="2" t="s">
        <v>21</v>
      </c>
      <c r="I3563" s="2" t="s">
        <v>8513</v>
      </c>
      <c r="J3563" s="3" t="str">
        <f>HYPERLINK("https://www.boe.es/gazeta/dias/1817/07/03/pdfs/GMD-1817-79.pdf#page=4","Abrir facsímil")</f>
        <v>Abrir facsímil</v>
      </c>
      <c r="K3563" s="3" t="s">
        <v>23</v>
      </c>
    </row>
    <row r="3564" spans="1:11" ht="42" customHeight="1">
      <c r="A3564" s="2" t="s">
        <v>8514</v>
      </c>
      <c r="B3564" s="2" t="s">
        <v>8515</v>
      </c>
      <c r="C3564" s="2" t="s">
        <v>138</v>
      </c>
      <c r="D3564" s="2" t="s">
        <v>44</v>
      </c>
      <c r="E3564" s="5">
        <v>-30284</v>
      </c>
      <c r="F3564" s="3" t="s">
        <v>741</v>
      </c>
      <c r="G3564" s="3" t="s">
        <v>77</v>
      </c>
      <c r="H3564" s="2" t="s">
        <v>21</v>
      </c>
      <c r="I3564" s="2" t="s">
        <v>8516</v>
      </c>
      <c r="J3564" s="3" t="str">
        <f>HYPERLINK("https://www.boe.es/gazeta/dias/1817/01/30/pdfs/GMD-1817-13.pdf#page=8","Abrir facsímil")</f>
        <v>Abrir facsímil</v>
      </c>
      <c r="K3564" s="3" t="s">
        <v>23</v>
      </c>
    </row>
    <row r="3565" spans="1:11" ht="42" customHeight="1">
      <c r="A3565" s="2" t="s">
        <v>8517</v>
      </c>
      <c r="B3565" s="2" t="s">
        <v>8518</v>
      </c>
      <c r="C3565" s="2" t="s">
        <v>36</v>
      </c>
      <c r="D3565" s="2" t="s">
        <v>37</v>
      </c>
      <c r="E3565" s="5">
        <v>-30081</v>
      </c>
      <c r="F3565" s="3" t="s">
        <v>133</v>
      </c>
      <c r="G3565" s="3" t="s">
        <v>39</v>
      </c>
      <c r="H3565" s="2" t="s">
        <v>21</v>
      </c>
      <c r="I3565" s="2" t="s">
        <v>8519</v>
      </c>
      <c r="J3565" s="3" t="str">
        <f>HYPERLINK("https://www.boe.es/gazeta/dias/1817/08/21/pdfs/GMD-1817-100.pdf#page=5","Abrir facsímil")</f>
        <v>Abrir facsímil</v>
      </c>
      <c r="K3565" s="3" t="s">
        <v>23</v>
      </c>
    </row>
    <row r="3566" spans="1:11" ht="42" customHeight="1">
      <c r="A3566" s="2" t="s">
        <v>8517</v>
      </c>
      <c r="B3566" s="2" t="s">
        <v>8518</v>
      </c>
      <c r="C3566" s="2" t="s">
        <v>36</v>
      </c>
      <c r="D3566" s="2" t="s">
        <v>37</v>
      </c>
      <c r="E3566" s="5">
        <v>-30081</v>
      </c>
      <c r="F3566" s="3" t="s">
        <v>133</v>
      </c>
      <c r="G3566" s="3" t="s">
        <v>57</v>
      </c>
      <c r="H3566" s="2" t="s">
        <v>21</v>
      </c>
      <c r="I3566" s="2" t="s">
        <v>8520</v>
      </c>
      <c r="J3566" s="3" t="str">
        <f>HYPERLINK("https://www.boe.es/gazeta/dias/1817/08/21/pdfs/GMD-1817-100.pdf#page=6","Abrir facsímil")</f>
        <v>Abrir facsímil</v>
      </c>
      <c r="K3566" s="3" t="s">
        <v>23</v>
      </c>
    </row>
    <row r="3567" spans="1:11" ht="42" customHeight="1">
      <c r="A3567" s="2" t="s">
        <v>8517</v>
      </c>
      <c r="B3567" s="2" t="s">
        <v>8518</v>
      </c>
      <c r="C3567" s="2" t="s">
        <v>36</v>
      </c>
      <c r="D3567" s="2" t="s">
        <v>37</v>
      </c>
      <c r="E3567" s="5">
        <v>-30081</v>
      </c>
      <c r="F3567" s="3" t="s">
        <v>133</v>
      </c>
      <c r="G3567" s="3" t="s">
        <v>77</v>
      </c>
      <c r="H3567" s="2" t="s">
        <v>21</v>
      </c>
      <c r="I3567" s="2" t="s">
        <v>8521</v>
      </c>
      <c r="J3567" s="3" t="str">
        <f>HYPERLINK("https://www.boe.es/gazeta/dias/1817/08/21/pdfs/GMD-1817-100.pdf#page=8","Abrir facsímil")</f>
        <v>Abrir facsímil</v>
      </c>
      <c r="K3567" s="3" t="s">
        <v>23</v>
      </c>
    </row>
    <row r="3568" spans="1:11" ht="42" customHeight="1">
      <c r="A3568" s="2" t="s">
        <v>8522</v>
      </c>
      <c r="B3568" s="2" t="s">
        <v>8523</v>
      </c>
      <c r="C3568" s="2" t="s">
        <v>36</v>
      </c>
      <c r="D3568" s="2" t="s">
        <v>37</v>
      </c>
      <c r="E3568" s="5">
        <v>-29988</v>
      </c>
      <c r="F3568" s="3" t="s">
        <v>569</v>
      </c>
      <c r="G3568" s="3" t="s">
        <v>39</v>
      </c>
      <c r="H3568" s="2" t="s">
        <v>21</v>
      </c>
      <c r="I3568" s="2" t="s">
        <v>8524</v>
      </c>
      <c r="J3568" s="3" t="str">
        <f>HYPERLINK("https://www.boe.es/gazeta/dias/1817/11/22/pdfs/GMD-1817-140.pdf#page=5","Abrir facsímil")</f>
        <v>Abrir facsímil</v>
      </c>
      <c r="K3568" s="3" t="s">
        <v>23</v>
      </c>
    </row>
    <row r="3569" spans="1:11" ht="42" customHeight="1">
      <c r="A3569" s="2" t="s">
        <v>8525</v>
      </c>
      <c r="B3569" s="2" t="s">
        <v>8525</v>
      </c>
      <c r="C3569" s="2" t="s">
        <v>17</v>
      </c>
      <c r="D3569" s="2" t="s">
        <v>18</v>
      </c>
      <c r="E3569" s="5">
        <v>-30149</v>
      </c>
      <c r="F3569" s="3" t="s">
        <v>430</v>
      </c>
      <c r="G3569" s="3" t="s">
        <v>72</v>
      </c>
      <c r="H3569" s="2" t="s">
        <v>21</v>
      </c>
      <c r="I3569" s="2" t="s">
        <v>8526</v>
      </c>
      <c r="J3569" s="3" t="str">
        <f>HYPERLINK("https://www.boe.es/gazeta/dias/1817/06/14/pdfs/GMD-1817-71.pdf#page=1","Abrir facsímil")</f>
        <v>Abrir facsímil</v>
      </c>
      <c r="K3569" s="3" t="s">
        <v>23</v>
      </c>
    </row>
    <row r="3570" spans="1:11" ht="42" customHeight="1">
      <c r="A3570" s="2" t="s">
        <v>8527</v>
      </c>
      <c r="B3570" s="2" t="s">
        <v>8528</v>
      </c>
      <c r="C3570" s="2" t="s">
        <v>36</v>
      </c>
      <c r="D3570" s="2" t="s">
        <v>37</v>
      </c>
      <c r="E3570" s="5">
        <v>-30156</v>
      </c>
      <c r="F3570" s="3" t="s">
        <v>635</v>
      </c>
      <c r="G3570" s="3" t="s">
        <v>2844</v>
      </c>
      <c r="H3570" s="2" t="s">
        <v>21</v>
      </c>
      <c r="I3570" s="2" t="s">
        <v>8529</v>
      </c>
      <c r="J3570" s="3" t="str">
        <f>HYPERLINK("https://www.boe.es/gazeta/dias/1817/06/07/pdfs/GMD-1817-68.pdf#page=7","Abrir facsímil")</f>
        <v>Abrir facsímil</v>
      </c>
      <c r="K3570" s="3" t="s">
        <v>23</v>
      </c>
    </row>
    <row r="3571" spans="1:11" ht="42" customHeight="1">
      <c r="A3571" s="2" t="s">
        <v>8530</v>
      </c>
      <c r="B3571" s="2" t="s">
        <v>8531</v>
      </c>
      <c r="C3571" s="2" t="s">
        <v>36</v>
      </c>
      <c r="D3571" s="2" t="s">
        <v>37</v>
      </c>
      <c r="E3571" s="5">
        <v>-30132</v>
      </c>
      <c r="F3571" s="3" t="s">
        <v>718</v>
      </c>
      <c r="G3571" s="3" t="s">
        <v>77</v>
      </c>
      <c r="H3571" s="2" t="s">
        <v>21</v>
      </c>
      <c r="I3571" s="2" t="s">
        <v>8532</v>
      </c>
      <c r="J3571" s="3" t="str">
        <f>HYPERLINK("https://www.boe.es/gazeta/dias/1817/07/01/pdfs/GMD-1817-78.pdf#page=8","Abrir facsímil")</f>
        <v>Abrir facsímil</v>
      </c>
      <c r="K3571" s="3" t="s">
        <v>23</v>
      </c>
    </row>
    <row r="3572" spans="1:11" ht="42" customHeight="1">
      <c r="A3572" s="2" t="s">
        <v>8533</v>
      </c>
      <c r="B3572" s="2" t="s">
        <v>8533</v>
      </c>
      <c r="C3572" s="2" t="s">
        <v>36</v>
      </c>
      <c r="D3572" s="2" t="s">
        <v>37</v>
      </c>
      <c r="E3572" s="5">
        <v>-30221</v>
      </c>
      <c r="F3572" s="3" t="s">
        <v>256</v>
      </c>
      <c r="G3572" s="3" t="s">
        <v>551</v>
      </c>
      <c r="H3572" s="2" t="s">
        <v>21</v>
      </c>
      <c r="I3572" s="2" t="s">
        <v>8534</v>
      </c>
      <c r="J3572" s="3" t="str">
        <f>HYPERLINK("https://www.boe.es/gazeta/dias/1817/04/03/pdfs/GMD-1817-40.pdf#page=3","Abrir facsímil")</f>
        <v>Abrir facsímil</v>
      </c>
      <c r="K3572" s="3" t="s">
        <v>23</v>
      </c>
    </row>
    <row r="3573" spans="1:11" ht="42" customHeight="1">
      <c r="A3573" s="2" t="s">
        <v>8533</v>
      </c>
      <c r="B3573" s="2" t="s">
        <v>8533</v>
      </c>
      <c r="C3573" s="2" t="s">
        <v>43</v>
      </c>
      <c r="D3573" s="2" t="s">
        <v>44</v>
      </c>
      <c r="E3573" s="5">
        <v>-30165</v>
      </c>
      <c r="F3573" s="3" t="s">
        <v>2040</v>
      </c>
      <c r="G3573" s="3" t="s">
        <v>551</v>
      </c>
      <c r="H3573" s="2" t="s">
        <v>21</v>
      </c>
      <c r="I3573" s="2" t="s">
        <v>8535</v>
      </c>
      <c r="J3573" s="3" t="str">
        <f>HYPERLINK("https://www.boe.es/gazeta/dias/1817/05/29/pdfs/GMD-1817-64.pdf#page=3","Abrir facsímil")</f>
        <v>Abrir facsímil</v>
      </c>
      <c r="K3573" s="3" t="s">
        <v>23</v>
      </c>
    </row>
    <row r="3574" spans="1:11" ht="42" customHeight="1">
      <c r="A3574" s="2" t="s">
        <v>8533</v>
      </c>
      <c r="B3574" s="2" t="s">
        <v>8533</v>
      </c>
      <c r="C3574" s="2" t="s">
        <v>43</v>
      </c>
      <c r="D3574" s="2" t="s">
        <v>44</v>
      </c>
      <c r="E3574" s="5">
        <v>-30123</v>
      </c>
      <c r="F3574" s="3" t="s">
        <v>848</v>
      </c>
      <c r="G3574" s="3" t="s">
        <v>629</v>
      </c>
      <c r="H3574" s="2" t="s">
        <v>21</v>
      </c>
      <c r="I3574" s="2" t="s">
        <v>8536</v>
      </c>
      <c r="J3574" s="3" t="str">
        <f>HYPERLINK("https://www.boe.es/gazeta/dias/1817/07/10/pdfs/GMD-1817-82.pdf#page=2","Abrir facsímil")</f>
        <v>Abrir facsímil</v>
      </c>
      <c r="K3574" s="3" t="s">
        <v>23</v>
      </c>
    </row>
    <row r="3575" spans="1:11" ht="42" customHeight="1">
      <c r="A3575" s="2" t="s">
        <v>8537</v>
      </c>
      <c r="B3575" s="2" t="s">
        <v>8538</v>
      </c>
      <c r="C3575" s="2" t="s">
        <v>17</v>
      </c>
      <c r="D3575" s="2" t="s">
        <v>18</v>
      </c>
      <c r="E3575" s="5">
        <v>-30298</v>
      </c>
      <c r="F3575" s="3" t="s">
        <v>489</v>
      </c>
      <c r="G3575" s="3" t="s">
        <v>57</v>
      </c>
      <c r="H3575" s="2" t="s">
        <v>21</v>
      </c>
      <c r="I3575" s="2" t="s">
        <v>8539</v>
      </c>
      <c r="J3575" s="3" t="str">
        <f>HYPERLINK("https://www.boe.es/gazeta/dias/1817/01/16/pdfs/GMD-1817-7.pdf#page=6","Abrir facsímil")</f>
        <v>Abrir facsímil</v>
      </c>
      <c r="K3575" s="3" t="s">
        <v>23</v>
      </c>
    </row>
    <row r="3576" spans="1:11" ht="42" customHeight="1">
      <c r="A3576" s="2" t="s">
        <v>8537</v>
      </c>
      <c r="B3576" s="2" t="s">
        <v>8538</v>
      </c>
      <c r="C3576" s="2" t="s">
        <v>17</v>
      </c>
      <c r="D3576" s="2" t="s">
        <v>18</v>
      </c>
      <c r="E3576" s="5">
        <v>-30291</v>
      </c>
      <c r="F3576" s="3" t="s">
        <v>1041</v>
      </c>
      <c r="G3576" s="3" t="s">
        <v>39</v>
      </c>
      <c r="H3576" s="2" t="s">
        <v>21</v>
      </c>
      <c r="I3576" s="2" t="s">
        <v>8540</v>
      </c>
      <c r="J3576" s="3" t="str">
        <f>HYPERLINK("https://www.boe.es/gazeta/dias/1817/01/23/pdfs/GMD-1817-10.pdf#page=5","Abrir facsímil")</f>
        <v>Abrir facsímil</v>
      </c>
      <c r="K3576" s="3" t="s">
        <v>23</v>
      </c>
    </row>
    <row r="3577" spans="1:11" ht="42" customHeight="1">
      <c r="A3577" s="2" t="s">
        <v>8537</v>
      </c>
      <c r="B3577" s="2" t="s">
        <v>8538</v>
      </c>
      <c r="C3577" s="2" t="s">
        <v>17</v>
      </c>
      <c r="D3577" s="2" t="s">
        <v>18</v>
      </c>
      <c r="E3577" s="5">
        <v>-30083</v>
      </c>
      <c r="F3577" s="3" t="s">
        <v>1273</v>
      </c>
      <c r="G3577" s="3" t="s">
        <v>5834</v>
      </c>
      <c r="H3577" s="2" t="s">
        <v>21</v>
      </c>
      <c r="I3577" s="2" t="s">
        <v>8541</v>
      </c>
      <c r="J3577" s="3" t="str">
        <f>HYPERLINK("https://www.boe.es/gazeta/dias/1817/08/19/pdfs/GMD-1817-99.pdf#page=6","Abrir facsímil")</f>
        <v>Abrir facsímil</v>
      </c>
      <c r="K3577" s="3" t="s">
        <v>23</v>
      </c>
    </row>
    <row r="3578" spans="1:11" ht="42" customHeight="1">
      <c r="A3578" s="2" t="s">
        <v>8542</v>
      </c>
      <c r="B3578" s="2" t="s">
        <v>8543</v>
      </c>
      <c r="C3578" s="2" t="s">
        <v>43</v>
      </c>
      <c r="D3578" s="2" t="s">
        <v>44</v>
      </c>
      <c r="E3578" s="5">
        <v>-30135</v>
      </c>
      <c r="F3578" s="3" t="s">
        <v>239</v>
      </c>
      <c r="G3578" s="3" t="s">
        <v>144</v>
      </c>
      <c r="H3578" s="2" t="s">
        <v>21</v>
      </c>
      <c r="I3578" s="2" t="s">
        <v>8544</v>
      </c>
      <c r="J3578" s="3" t="str">
        <f>HYPERLINK("https://www.boe.es/gazeta/dias/1817/06/28/pdfs/GMD-1817-77.pdf#page=4","Abrir facsímil")</f>
        <v>Abrir facsímil</v>
      </c>
      <c r="K3578" s="3" t="s">
        <v>23</v>
      </c>
    </row>
    <row r="3579" spans="1:11" ht="42" customHeight="1">
      <c r="A3579" s="2" t="s">
        <v>8545</v>
      </c>
      <c r="B3579" s="2" t="s">
        <v>8546</v>
      </c>
      <c r="C3579" s="2" t="s">
        <v>36</v>
      </c>
      <c r="D3579" s="2" t="s">
        <v>37</v>
      </c>
      <c r="E3579" s="5">
        <v>-30198</v>
      </c>
      <c r="F3579" s="3" t="s">
        <v>2185</v>
      </c>
      <c r="G3579" s="3" t="s">
        <v>2429</v>
      </c>
      <c r="H3579" s="2" t="s">
        <v>21</v>
      </c>
      <c r="I3579" s="2" t="s">
        <v>8547</v>
      </c>
      <c r="J3579" s="3" t="str">
        <f>HYPERLINK("https://www.boe.es/gazeta/dias/1817/04/26/pdfs/GMD-1817-50.pdf#page=7","Abrir facsímil")</f>
        <v>Abrir facsímil</v>
      </c>
      <c r="K3579" s="3" t="s">
        <v>23</v>
      </c>
    </row>
    <row r="3580" spans="1:11" ht="42" customHeight="1">
      <c r="A3580" s="2" t="s">
        <v>8548</v>
      </c>
      <c r="B3580" s="2" t="s">
        <v>8548</v>
      </c>
      <c r="C3580" s="2" t="s">
        <v>510</v>
      </c>
      <c r="D3580" s="2" t="s">
        <v>44</v>
      </c>
      <c r="E3580" s="5">
        <v>-30207</v>
      </c>
      <c r="F3580" s="3" t="s">
        <v>1139</v>
      </c>
      <c r="G3580" s="3" t="s">
        <v>72</v>
      </c>
      <c r="H3580" s="2" t="s">
        <v>21</v>
      </c>
      <c r="I3580" s="2" t="s">
        <v>8549</v>
      </c>
      <c r="J3580" s="3" t="str">
        <f>HYPERLINK("https://www.boe.es/gazeta/dias/1817/04/17/pdfs/GMD-1817-46.pdf#page=1","Abrir facsímil")</f>
        <v>Abrir facsímil</v>
      </c>
      <c r="K3580" s="3" t="s">
        <v>23</v>
      </c>
    </row>
    <row r="3581" spans="1:11" ht="42" customHeight="1">
      <c r="A3581" s="2" t="s">
        <v>8550</v>
      </c>
      <c r="B3581" s="2" t="s">
        <v>8551</v>
      </c>
      <c r="C3581" s="2" t="s">
        <v>36</v>
      </c>
      <c r="D3581" s="2" t="s">
        <v>37</v>
      </c>
      <c r="E3581" s="5">
        <v>-30086</v>
      </c>
      <c r="F3581" s="3" t="s">
        <v>221</v>
      </c>
      <c r="G3581" s="3" t="s">
        <v>20</v>
      </c>
      <c r="H3581" s="2" t="s">
        <v>21</v>
      </c>
      <c r="I3581" s="2" t="s">
        <v>8552</v>
      </c>
      <c r="J3581" s="3" t="str">
        <f>HYPERLINK("https://www.boe.es/gazeta/dias/1817/08/16/pdfs/GMD-1817-98.pdf#page=7","Abrir facsímil")</f>
        <v>Abrir facsímil</v>
      </c>
      <c r="K3581" s="3" t="s">
        <v>23</v>
      </c>
    </row>
    <row r="3582" spans="1:11" ht="42" customHeight="1">
      <c r="A3582" s="2" t="s">
        <v>8553</v>
      </c>
      <c r="B3582" s="2" t="s">
        <v>8554</v>
      </c>
      <c r="C3582" s="2" t="s">
        <v>55</v>
      </c>
      <c r="D3582" s="2" t="s">
        <v>44</v>
      </c>
      <c r="E3582" s="5">
        <v>-29985</v>
      </c>
      <c r="F3582" s="3" t="s">
        <v>76</v>
      </c>
      <c r="G3582" s="3" t="s">
        <v>20</v>
      </c>
      <c r="H3582" s="2" t="s">
        <v>21</v>
      </c>
      <c r="I3582" s="2" t="s">
        <v>8555</v>
      </c>
      <c r="J3582" s="3" t="str">
        <f>HYPERLINK("https://www.boe.es/gazeta/dias/1817/11/25/pdfs/GMD-1817-141.pdf#page=7","Abrir facsímil")</f>
        <v>Abrir facsímil</v>
      </c>
      <c r="K3582" s="3" t="s">
        <v>23</v>
      </c>
    </row>
    <row r="3583" spans="1:11" ht="42" customHeight="1">
      <c r="A3583" s="2" t="s">
        <v>8556</v>
      </c>
      <c r="B3583" s="2" t="s">
        <v>8557</v>
      </c>
      <c r="C3583" s="2" t="s">
        <v>17</v>
      </c>
      <c r="D3583" s="2" t="s">
        <v>18</v>
      </c>
      <c r="E3583" s="5">
        <v>-30102</v>
      </c>
      <c r="F3583" s="3" t="s">
        <v>502</v>
      </c>
      <c r="G3583" s="3" t="s">
        <v>20</v>
      </c>
      <c r="H3583" s="2" t="s">
        <v>21</v>
      </c>
      <c r="I3583" s="2" t="s">
        <v>8558</v>
      </c>
      <c r="J3583" s="3" t="str">
        <f>HYPERLINK("https://www.boe.es/gazeta/dias/1817/07/31/pdfs/GMD-1817-91.pdf#page=7","Abrir facsímil")</f>
        <v>Abrir facsímil</v>
      </c>
      <c r="K3583" s="3" t="s">
        <v>23</v>
      </c>
    </row>
    <row r="3584" spans="1:11" ht="42" customHeight="1">
      <c r="A3584" s="2" t="s">
        <v>8556</v>
      </c>
      <c r="B3584" s="2" t="s">
        <v>8557</v>
      </c>
      <c r="C3584" s="2" t="s">
        <v>49</v>
      </c>
      <c r="D3584" s="2" t="s">
        <v>44</v>
      </c>
      <c r="E3584" s="5">
        <v>-30032</v>
      </c>
      <c r="F3584" s="3" t="s">
        <v>337</v>
      </c>
      <c r="G3584" s="3" t="s">
        <v>2709</v>
      </c>
      <c r="H3584" s="2" t="s">
        <v>21</v>
      </c>
      <c r="I3584" s="2" t="s">
        <v>8559</v>
      </c>
      <c r="J3584" s="3" t="str">
        <f>HYPERLINK("https://www.boe.es/gazeta/dias/1817/10/09/pdfs/GMD-1817-121.pdf#page=7","Abrir facsímil")</f>
        <v>Abrir facsímil</v>
      </c>
      <c r="K3584" s="3" t="s">
        <v>23</v>
      </c>
    </row>
    <row r="3585" spans="1:11" ht="42" customHeight="1">
      <c r="A3585" s="2" t="s">
        <v>8560</v>
      </c>
      <c r="B3585" s="2" t="s">
        <v>8561</v>
      </c>
      <c r="C3585" s="2" t="s">
        <v>17</v>
      </c>
      <c r="D3585" s="2" t="s">
        <v>18</v>
      </c>
      <c r="E3585" s="5">
        <v>-29967</v>
      </c>
      <c r="F3585" s="3" t="s">
        <v>183</v>
      </c>
      <c r="G3585" s="3" t="s">
        <v>77</v>
      </c>
      <c r="H3585" s="2" t="s">
        <v>21</v>
      </c>
      <c r="I3585" s="2" t="s">
        <v>8562</v>
      </c>
      <c r="J3585" s="3" t="str">
        <f>HYPERLINK("https://www.boe.es/gazeta/dias/1817/12/13/pdfs/GMD-1817-149.pdf#page=8","Abrir facsímil")</f>
        <v>Abrir facsímil</v>
      </c>
      <c r="K3585" s="3" t="s">
        <v>23</v>
      </c>
    </row>
    <row r="3586" spans="1:11" ht="42" customHeight="1">
      <c r="A3586" s="2" t="s">
        <v>8563</v>
      </c>
      <c r="B3586" s="2" t="s">
        <v>8564</v>
      </c>
      <c r="C3586" s="2" t="s">
        <v>55</v>
      </c>
      <c r="D3586" s="2" t="s">
        <v>44</v>
      </c>
      <c r="E3586" s="5">
        <v>-30151</v>
      </c>
      <c r="F3586" s="3" t="s">
        <v>1422</v>
      </c>
      <c r="G3586" s="3" t="s">
        <v>77</v>
      </c>
      <c r="H3586" s="2" t="s">
        <v>21</v>
      </c>
      <c r="I3586" s="2" t="s">
        <v>8565</v>
      </c>
      <c r="J3586" s="3" t="str">
        <f>HYPERLINK("https://www.boe.es/gazeta/dias/1817/06/12/pdfs/GMD-1817-70.pdf#page=8","Abrir facsímil")</f>
        <v>Abrir facsímil</v>
      </c>
      <c r="K3586" s="3" t="s">
        <v>23</v>
      </c>
    </row>
    <row r="3587" spans="1:11" ht="42" customHeight="1">
      <c r="A3587" s="2" t="s">
        <v>8566</v>
      </c>
      <c r="B3587" s="2" t="s">
        <v>8567</v>
      </c>
      <c r="C3587" s="2" t="s">
        <v>36</v>
      </c>
      <c r="D3587" s="2" t="s">
        <v>37</v>
      </c>
      <c r="E3587" s="5">
        <v>-29981</v>
      </c>
      <c r="F3587" s="3" t="s">
        <v>111</v>
      </c>
      <c r="G3587" s="3" t="s">
        <v>20</v>
      </c>
      <c r="H3587" s="2" t="s">
        <v>21</v>
      </c>
      <c r="I3587" s="2" t="s">
        <v>8568</v>
      </c>
      <c r="J3587" s="3" t="str">
        <f>HYPERLINK("https://www.boe.es/gazeta/dias/1817/11/29/pdfs/GMD-1817-143.pdf#page=7","Abrir facsímil")</f>
        <v>Abrir facsímil</v>
      </c>
      <c r="K3587" s="3" t="s">
        <v>23</v>
      </c>
    </row>
    <row r="3588" spans="1:11" ht="42" customHeight="1">
      <c r="A3588" s="2" t="s">
        <v>8569</v>
      </c>
      <c r="B3588" s="2" t="s">
        <v>8570</v>
      </c>
      <c r="C3588" s="2" t="s">
        <v>17</v>
      </c>
      <c r="D3588" s="2" t="s">
        <v>18</v>
      </c>
      <c r="E3588" s="5">
        <v>-30291</v>
      </c>
      <c r="F3588" s="3" t="s">
        <v>1041</v>
      </c>
      <c r="G3588" s="3" t="s">
        <v>77</v>
      </c>
      <c r="H3588" s="2" t="s">
        <v>21</v>
      </c>
      <c r="I3588" s="2" t="s">
        <v>8571</v>
      </c>
      <c r="J3588" s="3" t="str">
        <f>HYPERLINK("https://www.boe.es/gazeta/dias/1817/01/23/pdfs/GMD-1817-10.pdf#page=8","Abrir facsímil")</f>
        <v>Abrir facsímil</v>
      </c>
      <c r="K3588" s="3" t="s">
        <v>23</v>
      </c>
    </row>
    <row r="3589" spans="1:11" ht="42" customHeight="1">
      <c r="A3589" s="2" t="s">
        <v>8572</v>
      </c>
      <c r="B3589" s="2" t="s">
        <v>8573</v>
      </c>
      <c r="C3589" s="2" t="s">
        <v>55</v>
      </c>
      <c r="D3589" s="2" t="s">
        <v>44</v>
      </c>
      <c r="E3589" s="5">
        <v>-29974</v>
      </c>
      <c r="F3589" s="3" t="s">
        <v>32</v>
      </c>
      <c r="G3589" s="3" t="s">
        <v>77</v>
      </c>
      <c r="H3589" s="2" t="s">
        <v>21</v>
      </c>
      <c r="I3589" s="2" t="s">
        <v>8574</v>
      </c>
      <c r="J3589" s="3" t="str">
        <f>HYPERLINK("https://www.boe.es/gazeta/dias/1817/12/06/pdfs/GMD-1817-146.pdf#page=8","Abrir facsímil")</f>
        <v>Abrir facsímil</v>
      </c>
      <c r="K3589" s="3" t="s">
        <v>23</v>
      </c>
    </row>
    <row r="3590" spans="1:11" ht="42" customHeight="1">
      <c r="A3590" s="2" t="s">
        <v>8575</v>
      </c>
      <c r="B3590" s="2" t="s">
        <v>8575</v>
      </c>
      <c r="C3590" s="2" t="s">
        <v>49</v>
      </c>
      <c r="D3590" s="2" t="s">
        <v>44</v>
      </c>
      <c r="E3590" s="5">
        <v>-29967</v>
      </c>
      <c r="F3590" s="3" t="s">
        <v>183</v>
      </c>
      <c r="G3590" s="3" t="s">
        <v>72</v>
      </c>
      <c r="H3590" s="2" t="s">
        <v>21</v>
      </c>
      <c r="I3590" s="2" t="s">
        <v>8576</v>
      </c>
      <c r="J3590" s="3" t="str">
        <f>HYPERLINK("https://www.boe.es/gazeta/dias/1817/12/13/pdfs/GMD-1817-149.pdf#page=1","Abrir facsímil")</f>
        <v>Abrir facsímil</v>
      </c>
      <c r="K3590" s="3" t="s">
        <v>23</v>
      </c>
    </row>
    <row r="3591" spans="1:11" ht="42" customHeight="1">
      <c r="A3591" s="2" t="s">
        <v>8577</v>
      </c>
      <c r="B3591" s="2" t="s">
        <v>8577</v>
      </c>
      <c r="C3591" s="2" t="s">
        <v>36</v>
      </c>
      <c r="D3591" s="2" t="s">
        <v>37</v>
      </c>
      <c r="E3591" s="5">
        <v>-30076</v>
      </c>
      <c r="F3591" s="3" t="s">
        <v>439</v>
      </c>
      <c r="G3591" s="3" t="s">
        <v>77</v>
      </c>
      <c r="H3591" s="2" t="s">
        <v>21</v>
      </c>
      <c r="I3591" s="2" t="s">
        <v>8578</v>
      </c>
      <c r="J3591" s="3" t="str">
        <f>HYPERLINK("https://www.boe.es/gazeta/dias/1817/08/26/pdfs/GMD-1817-102.pdf#page=8","Abrir facsímil")</f>
        <v>Abrir facsímil</v>
      </c>
      <c r="K3591" s="3" t="s">
        <v>23</v>
      </c>
    </row>
    <row r="3592" spans="1:11" ht="42" customHeight="1">
      <c r="A3592" s="2" t="s">
        <v>8577</v>
      </c>
      <c r="B3592" s="2" t="s">
        <v>8577</v>
      </c>
      <c r="C3592" s="2" t="s">
        <v>36</v>
      </c>
      <c r="D3592" s="2" t="s">
        <v>37</v>
      </c>
      <c r="E3592" s="5">
        <v>-29955</v>
      </c>
      <c r="F3592" s="3" t="s">
        <v>805</v>
      </c>
      <c r="G3592" s="3" t="s">
        <v>629</v>
      </c>
      <c r="H3592" s="2" t="s">
        <v>21</v>
      </c>
      <c r="I3592" s="2" t="s">
        <v>8579</v>
      </c>
      <c r="J3592" s="3" t="str">
        <f>HYPERLINK("https://www.boe.es/gazeta/dias/1817/12/25/pdfs/GMD-1817-154.pdf#page=2","Abrir facsímil")</f>
        <v>Abrir facsímil</v>
      </c>
      <c r="K3592" s="3" t="s">
        <v>23</v>
      </c>
    </row>
    <row r="3593" spans="1:11" ht="42" customHeight="1">
      <c r="A3593" s="2" t="s">
        <v>8580</v>
      </c>
      <c r="B3593" s="2" t="s">
        <v>8581</v>
      </c>
      <c r="C3593" s="2" t="s">
        <v>36</v>
      </c>
      <c r="D3593" s="2" t="s">
        <v>37</v>
      </c>
      <c r="E3593" s="5">
        <v>-30107</v>
      </c>
      <c r="F3593" s="3" t="s">
        <v>307</v>
      </c>
      <c r="G3593" s="3" t="s">
        <v>77</v>
      </c>
      <c r="H3593" s="2" t="s">
        <v>21</v>
      </c>
      <c r="I3593" s="2" t="s">
        <v>8582</v>
      </c>
      <c r="J3593" s="3" t="str">
        <f>HYPERLINK("https://www.boe.es/gazeta/dias/1817/07/26/pdfs/GMD-1817-89.pdf#page=8","Abrir facsímil")</f>
        <v>Abrir facsímil</v>
      </c>
      <c r="K3593" s="3" t="s">
        <v>23</v>
      </c>
    </row>
    <row r="3594" spans="1:11" ht="42" customHeight="1">
      <c r="A3594" s="2" t="s">
        <v>8583</v>
      </c>
      <c r="B3594" s="2" t="s">
        <v>8584</v>
      </c>
      <c r="C3594" s="2" t="s">
        <v>36</v>
      </c>
      <c r="D3594" s="2" t="s">
        <v>37</v>
      </c>
      <c r="E3594" s="5">
        <v>-30095</v>
      </c>
      <c r="F3594" s="3" t="s">
        <v>365</v>
      </c>
      <c r="G3594" s="3" t="s">
        <v>112</v>
      </c>
      <c r="H3594" s="2" t="s">
        <v>21</v>
      </c>
      <c r="I3594" s="2" t="s">
        <v>8585</v>
      </c>
      <c r="J3594" s="3" t="str">
        <f>HYPERLINK("https://www.boe.es/gazeta/dias/1817/08/07/pdfs/GMD-1817-94.pdf#page=11","Abrir facsímil")</f>
        <v>Abrir facsímil</v>
      </c>
      <c r="K3594" s="3" t="s">
        <v>23</v>
      </c>
    </row>
    <row r="3595" spans="1:11" ht="42" customHeight="1">
      <c r="A3595" s="2" t="s">
        <v>8583</v>
      </c>
      <c r="B3595" s="2" t="s">
        <v>8584</v>
      </c>
      <c r="C3595" s="2" t="s">
        <v>55</v>
      </c>
      <c r="D3595" s="2" t="s">
        <v>44</v>
      </c>
      <c r="E3595" s="5">
        <v>-29953</v>
      </c>
      <c r="F3595" s="3" t="s">
        <v>793</v>
      </c>
      <c r="G3595" s="3" t="s">
        <v>20</v>
      </c>
      <c r="H3595" s="2" t="s">
        <v>21</v>
      </c>
      <c r="I3595" s="2" t="s">
        <v>8586</v>
      </c>
      <c r="J3595" s="3" t="str">
        <f>HYPERLINK("https://www.boe.es/gazeta/dias/1817/12/27/pdfs/GMD-1817-155.pdf#page=7","Abrir facsímil")</f>
        <v>Abrir facsímil</v>
      </c>
      <c r="K3595" s="3" t="s">
        <v>23</v>
      </c>
    </row>
    <row r="3596" spans="1:11" ht="42" customHeight="1">
      <c r="A3596" s="2" t="s">
        <v>8587</v>
      </c>
      <c r="B3596" s="2" t="s">
        <v>8588</v>
      </c>
      <c r="C3596" s="2" t="s">
        <v>55</v>
      </c>
      <c r="D3596" s="2" t="s">
        <v>44</v>
      </c>
      <c r="E3596" s="5">
        <v>-30114</v>
      </c>
      <c r="F3596" s="3" t="s">
        <v>500</v>
      </c>
      <c r="G3596" s="3" t="s">
        <v>915</v>
      </c>
      <c r="H3596" s="2" t="s">
        <v>21</v>
      </c>
      <c r="I3596" s="2" t="s">
        <v>8589</v>
      </c>
      <c r="J3596" s="3" t="str">
        <f>HYPERLINK("https://www.boe.es/gazeta/dias/1817/07/19/pdfs/GMD-1817-86.pdf#page=6","Abrir facsímil")</f>
        <v>Abrir facsímil</v>
      </c>
      <c r="K3596" s="3" t="s">
        <v>23</v>
      </c>
    </row>
    <row r="3597" spans="1:11" ht="42" customHeight="1">
      <c r="A3597" s="2" t="s">
        <v>8590</v>
      </c>
      <c r="B3597" s="2" t="s">
        <v>8591</v>
      </c>
      <c r="C3597" s="2" t="s">
        <v>36</v>
      </c>
      <c r="D3597" s="2" t="s">
        <v>37</v>
      </c>
      <c r="E3597" s="5">
        <v>-30142</v>
      </c>
      <c r="F3597" s="3" t="s">
        <v>286</v>
      </c>
      <c r="G3597" s="3" t="s">
        <v>144</v>
      </c>
      <c r="H3597" s="2" t="s">
        <v>21</v>
      </c>
      <c r="I3597" s="2" t="s">
        <v>8592</v>
      </c>
      <c r="J3597" s="3" t="str">
        <f>HYPERLINK("https://www.boe.es/gazeta/dias/1817/06/21/pdfs/GMD-1817-74.pdf#page=4","Abrir facsímil")</f>
        <v>Abrir facsímil</v>
      </c>
      <c r="K3597" s="3" t="s">
        <v>23</v>
      </c>
    </row>
    <row r="3598" spans="1:11" ht="42" customHeight="1">
      <c r="A3598" s="2" t="s">
        <v>8593</v>
      </c>
      <c r="B3598" s="2" t="s">
        <v>8594</v>
      </c>
      <c r="C3598" s="2" t="s">
        <v>55</v>
      </c>
      <c r="D3598" s="2" t="s">
        <v>44</v>
      </c>
      <c r="E3598" s="5">
        <v>-30086</v>
      </c>
      <c r="F3598" s="3" t="s">
        <v>221</v>
      </c>
      <c r="G3598" s="3" t="s">
        <v>39</v>
      </c>
      <c r="H3598" s="2" t="s">
        <v>21</v>
      </c>
      <c r="I3598" s="2" t="s">
        <v>8595</v>
      </c>
      <c r="J3598" s="3" t="str">
        <f>HYPERLINK("https://www.boe.es/gazeta/dias/1817/08/16/pdfs/GMD-1817-98.pdf#page=5","Abrir facsímil")</f>
        <v>Abrir facsímil</v>
      </c>
      <c r="K3598" s="3" t="s">
        <v>23</v>
      </c>
    </row>
    <row r="3599" spans="1:11" ht="42" customHeight="1">
      <c r="A3599" s="2" t="s">
        <v>8596</v>
      </c>
      <c r="B3599" s="2" t="s">
        <v>8597</v>
      </c>
      <c r="C3599" s="2" t="s">
        <v>36</v>
      </c>
      <c r="D3599" s="2" t="s">
        <v>37</v>
      </c>
      <c r="E3599" s="5">
        <v>-30104</v>
      </c>
      <c r="F3599" s="3" t="s">
        <v>856</v>
      </c>
      <c r="G3599" s="3" t="s">
        <v>20</v>
      </c>
      <c r="H3599" s="2" t="s">
        <v>21</v>
      </c>
      <c r="I3599" s="2" t="s">
        <v>8598</v>
      </c>
      <c r="J3599" s="3" t="str">
        <f>HYPERLINK("https://www.boe.es/gazeta/dias/1817/07/29/pdfs/GMD-1817-90.pdf#page=7","Abrir facsímil")</f>
        <v>Abrir facsímil</v>
      </c>
      <c r="K3599" s="3" t="s">
        <v>23</v>
      </c>
    </row>
    <row r="3600" spans="1:11" ht="42" customHeight="1">
      <c r="A3600" s="2" t="s">
        <v>8599</v>
      </c>
      <c r="B3600" s="2" t="s">
        <v>8600</v>
      </c>
      <c r="C3600" s="2" t="s">
        <v>36</v>
      </c>
      <c r="D3600" s="2" t="s">
        <v>37</v>
      </c>
      <c r="E3600" s="5">
        <v>-30118</v>
      </c>
      <c r="F3600" s="3" t="s">
        <v>432</v>
      </c>
      <c r="G3600" s="3" t="s">
        <v>433</v>
      </c>
      <c r="H3600" s="2" t="s">
        <v>21</v>
      </c>
      <c r="I3600" s="2" t="s">
        <v>8601</v>
      </c>
      <c r="J3600" s="3" t="str">
        <f>HYPERLINK("https://www.boe.es/gazeta/dias/1817/07/15/pdfs/GMD-1817-84.pdf#page=8","Abrir facsímil")</f>
        <v>Abrir facsímil</v>
      </c>
      <c r="K3600" s="3" t="s">
        <v>23</v>
      </c>
    </row>
    <row r="3601" spans="1:11" ht="42" customHeight="1">
      <c r="A3601" s="2" t="s">
        <v>8602</v>
      </c>
      <c r="B3601" s="2" t="s">
        <v>8603</v>
      </c>
      <c r="C3601" s="2" t="s">
        <v>49</v>
      </c>
      <c r="D3601" s="2" t="s">
        <v>44</v>
      </c>
      <c r="E3601" s="5">
        <v>-29955</v>
      </c>
      <c r="F3601" s="3" t="s">
        <v>805</v>
      </c>
      <c r="G3601" s="3" t="s">
        <v>20</v>
      </c>
      <c r="H3601" s="2" t="s">
        <v>21</v>
      </c>
      <c r="I3601" s="2" t="s">
        <v>8604</v>
      </c>
      <c r="J3601" s="3" t="str">
        <f>HYPERLINK("https://www.boe.es/gazeta/dias/1817/12/25/pdfs/GMD-1817-154.pdf#page=7","Abrir facsímil")</f>
        <v>Abrir facsímil</v>
      </c>
      <c r="K3601" s="3" t="s">
        <v>23</v>
      </c>
    </row>
    <row r="3602" spans="1:11" ht="42" customHeight="1">
      <c r="A3602" s="2" t="s">
        <v>8605</v>
      </c>
      <c r="B3602" s="2" t="s">
        <v>8606</v>
      </c>
      <c r="C3602" s="2" t="s">
        <v>36</v>
      </c>
      <c r="D3602" s="2" t="s">
        <v>37</v>
      </c>
      <c r="E3602" s="5">
        <v>-30065</v>
      </c>
      <c r="F3602" s="3" t="s">
        <v>201</v>
      </c>
      <c r="G3602" s="3" t="s">
        <v>57</v>
      </c>
      <c r="H3602" s="2" t="s">
        <v>21</v>
      </c>
      <c r="I3602" s="2" t="s">
        <v>8607</v>
      </c>
      <c r="J3602" s="3" t="str">
        <f>HYPERLINK("https://www.boe.es/gazeta/dias/1817/09/06/pdfs/GMD-1817-107.pdf#page=6","Abrir facsímil")</f>
        <v>Abrir facsímil</v>
      </c>
      <c r="K3602" s="3" t="s">
        <v>23</v>
      </c>
    </row>
    <row r="3603" spans="1:11" ht="42" customHeight="1">
      <c r="A3603" s="2" t="s">
        <v>8608</v>
      </c>
      <c r="B3603" s="2" t="s">
        <v>8609</v>
      </c>
      <c r="C3603" s="2" t="s">
        <v>36</v>
      </c>
      <c r="D3603" s="2" t="s">
        <v>37</v>
      </c>
      <c r="E3603" s="5">
        <v>-30149</v>
      </c>
      <c r="F3603" s="3" t="s">
        <v>430</v>
      </c>
      <c r="G3603" s="3" t="s">
        <v>39</v>
      </c>
      <c r="H3603" s="2" t="s">
        <v>21</v>
      </c>
      <c r="I3603" s="2" t="s">
        <v>8610</v>
      </c>
      <c r="J3603" s="3" t="str">
        <f>HYPERLINK("https://www.boe.es/gazeta/dias/1817/06/14/pdfs/GMD-1817-71.pdf#page=5","Abrir facsímil")</f>
        <v>Abrir facsímil</v>
      </c>
      <c r="K3603" s="3" t="s">
        <v>23</v>
      </c>
    </row>
    <row r="3604" spans="1:11" ht="42" customHeight="1">
      <c r="A3604" s="2" t="s">
        <v>8611</v>
      </c>
      <c r="B3604" s="2" t="s">
        <v>8612</v>
      </c>
      <c r="C3604" s="2" t="s">
        <v>36</v>
      </c>
      <c r="D3604" s="2" t="s">
        <v>37</v>
      </c>
      <c r="E3604" s="5">
        <v>-30060</v>
      </c>
      <c r="F3604" s="3" t="s">
        <v>446</v>
      </c>
      <c r="G3604" s="3" t="s">
        <v>57</v>
      </c>
      <c r="H3604" s="2" t="s">
        <v>21</v>
      </c>
      <c r="I3604" s="2" t="s">
        <v>8613</v>
      </c>
      <c r="J3604" s="3" t="str">
        <f>HYPERLINK("https://www.boe.es/gazeta/dias/1817/09/11/pdfs/GMD-1817-109.pdf#page=6","Abrir facsímil")</f>
        <v>Abrir facsímil</v>
      </c>
      <c r="K3604" s="3" t="s">
        <v>23</v>
      </c>
    </row>
    <row r="3605" spans="1:11" ht="42" customHeight="1">
      <c r="A3605" s="2" t="s">
        <v>8614</v>
      </c>
      <c r="B3605" s="2" t="s">
        <v>8615</v>
      </c>
      <c r="C3605" s="2" t="s">
        <v>36</v>
      </c>
      <c r="D3605" s="2" t="s">
        <v>37</v>
      </c>
      <c r="E3605" s="5">
        <v>-30207</v>
      </c>
      <c r="F3605" s="3" t="s">
        <v>1139</v>
      </c>
      <c r="G3605" s="3" t="s">
        <v>57</v>
      </c>
      <c r="H3605" s="2" t="s">
        <v>21</v>
      </c>
      <c r="I3605" s="2" t="s">
        <v>8616</v>
      </c>
      <c r="J3605" s="3" t="str">
        <f>HYPERLINK("https://www.boe.es/gazeta/dias/1817/04/17/pdfs/GMD-1817-46.pdf#page=6","Abrir facsímil")</f>
        <v>Abrir facsímil</v>
      </c>
      <c r="K3605" s="3" t="s">
        <v>23</v>
      </c>
    </row>
    <row r="3606" spans="1:11" ht="42" customHeight="1">
      <c r="A3606" s="2" t="s">
        <v>8617</v>
      </c>
      <c r="B3606" s="2" t="s">
        <v>8618</v>
      </c>
      <c r="C3606" s="2" t="s">
        <v>17</v>
      </c>
      <c r="D3606" s="2" t="s">
        <v>18</v>
      </c>
      <c r="E3606" s="5">
        <v>-30303</v>
      </c>
      <c r="F3606" s="3" t="s">
        <v>407</v>
      </c>
      <c r="G3606" s="3" t="s">
        <v>20</v>
      </c>
      <c r="H3606" s="2" t="s">
        <v>21</v>
      </c>
      <c r="I3606" s="2" t="s">
        <v>8619</v>
      </c>
      <c r="J3606" s="3" t="str">
        <f>HYPERLINK("https://www.boe.es/gazeta/dias/1817/01/11/pdfs/GMD-1817-5.pdf#page=7","Abrir facsímil")</f>
        <v>Abrir facsímil</v>
      </c>
      <c r="K3606" s="3" t="s">
        <v>23</v>
      </c>
    </row>
    <row r="3607" spans="1:11" ht="42" customHeight="1">
      <c r="A3607" s="2" t="s">
        <v>8617</v>
      </c>
      <c r="B3607" s="2" t="s">
        <v>8618</v>
      </c>
      <c r="C3607" s="2" t="s">
        <v>17</v>
      </c>
      <c r="D3607" s="2" t="s">
        <v>18</v>
      </c>
      <c r="E3607" s="5">
        <v>-30200</v>
      </c>
      <c r="F3607" s="3" t="s">
        <v>725</v>
      </c>
      <c r="G3607" s="3" t="s">
        <v>77</v>
      </c>
      <c r="H3607" s="2" t="s">
        <v>21</v>
      </c>
      <c r="I3607" s="2" t="s">
        <v>8620</v>
      </c>
      <c r="J3607" s="3" t="str">
        <f>HYPERLINK("https://www.boe.es/gazeta/dias/1817/04/24/pdfs/GMD-1817-49.pdf#page=8","Abrir facsímil")</f>
        <v>Abrir facsímil</v>
      </c>
      <c r="K3607" s="3" t="s">
        <v>23</v>
      </c>
    </row>
    <row r="3608" spans="1:11" ht="42" customHeight="1">
      <c r="A3608" s="2" t="s">
        <v>8617</v>
      </c>
      <c r="B3608" s="2" t="s">
        <v>8618</v>
      </c>
      <c r="C3608" s="2" t="s">
        <v>17</v>
      </c>
      <c r="D3608" s="2" t="s">
        <v>18</v>
      </c>
      <c r="E3608" s="5">
        <v>-30177</v>
      </c>
      <c r="F3608" s="3" t="s">
        <v>633</v>
      </c>
      <c r="G3608" s="3" t="s">
        <v>77</v>
      </c>
      <c r="H3608" s="2" t="s">
        <v>21</v>
      </c>
      <c r="I3608" s="2" t="s">
        <v>8621</v>
      </c>
      <c r="J3608" s="3" t="str">
        <f>HYPERLINK("https://www.boe.es/gazeta/dias/1817/05/17/pdfs/GMD-1817-59.pdf#page=8","Abrir facsímil")</f>
        <v>Abrir facsímil</v>
      </c>
      <c r="K3608" s="3" t="s">
        <v>23</v>
      </c>
    </row>
    <row r="3609" spans="1:11" ht="42" customHeight="1">
      <c r="A3609" s="2" t="s">
        <v>8617</v>
      </c>
      <c r="B3609" s="2" t="s">
        <v>8618</v>
      </c>
      <c r="C3609" s="2" t="s">
        <v>17</v>
      </c>
      <c r="D3609" s="2" t="s">
        <v>18</v>
      </c>
      <c r="E3609" s="5">
        <v>-30037</v>
      </c>
      <c r="F3609" s="3" t="s">
        <v>453</v>
      </c>
      <c r="G3609" s="3" t="s">
        <v>1897</v>
      </c>
      <c r="H3609" s="2" t="s">
        <v>21</v>
      </c>
      <c r="I3609" s="2" t="s">
        <v>8622</v>
      </c>
      <c r="J3609" s="3" t="str">
        <f>HYPERLINK("https://www.boe.es/gazeta/dias/1817/10/04/pdfs/GMD-1817-119.pdf#page=4","Abrir facsímil")</f>
        <v>Abrir facsímil</v>
      </c>
      <c r="K3609" s="3" t="s">
        <v>23</v>
      </c>
    </row>
    <row r="3610" spans="1:11" ht="42" customHeight="1">
      <c r="A3610" s="2" t="s">
        <v>8623</v>
      </c>
      <c r="B3610" s="2" t="s">
        <v>8623</v>
      </c>
      <c r="C3610" s="2" t="s">
        <v>36</v>
      </c>
      <c r="D3610" s="2" t="s">
        <v>37</v>
      </c>
      <c r="E3610" s="5">
        <v>-30293</v>
      </c>
      <c r="F3610" s="3" t="s">
        <v>143</v>
      </c>
      <c r="G3610" s="3" t="s">
        <v>72</v>
      </c>
      <c r="H3610" s="2" t="s">
        <v>21</v>
      </c>
      <c r="I3610" s="2" t="s">
        <v>8624</v>
      </c>
      <c r="J3610" s="3" t="str">
        <f>HYPERLINK("https://www.boe.es/gazeta/dias/1817/01/21/pdfs/GMD-1817-9.pdf#page=1","Abrir facsímil")</f>
        <v>Abrir facsímil</v>
      </c>
      <c r="K3610" s="3" t="s">
        <v>23</v>
      </c>
    </row>
    <row r="3611" spans="1:11" ht="42" customHeight="1">
      <c r="A3611" s="2" t="s">
        <v>8625</v>
      </c>
      <c r="B3611" s="2" t="s">
        <v>8626</v>
      </c>
      <c r="C3611" s="2" t="s">
        <v>36</v>
      </c>
      <c r="D3611" s="2" t="s">
        <v>37</v>
      </c>
      <c r="E3611" s="5">
        <v>-30027</v>
      </c>
      <c r="F3611" s="3" t="s">
        <v>173</v>
      </c>
      <c r="G3611" s="3" t="s">
        <v>708</v>
      </c>
      <c r="H3611" s="2" t="s">
        <v>21</v>
      </c>
      <c r="I3611" s="2" t="s">
        <v>8627</v>
      </c>
      <c r="J3611" s="3" t="str">
        <f>HYPERLINK("https://www.boe.es/gazeta/dias/1817/10/14/pdfs/GMD-1817-123.pdf#page=6","Abrir facsímil")</f>
        <v>Abrir facsímil</v>
      </c>
      <c r="K3611" s="3" t="s">
        <v>23</v>
      </c>
    </row>
    <row r="3612" spans="1:11" ht="42" customHeight="1">
      <c r="A3612" s="2" t="s">
        <v>8628</v>
      </c>
      <c r="B3612" s="2" t="s">
        <v>8628</v>
      </c>
      <c r="C3612" s="2" t="s">
        <v>49</v>
      </c>
      <c r="D3612" s="2" t="s">
        <v>44</v>
      </c>
      <c r="E3612" s="5">
        <v>-30025</v>
      </c>
      <c r="F3612" s="3" t="s">
        <v>458</v>
      </c>
      <c r="G3612" s="3" t="s">
        <v>629</v>
      </c>
      <c r="H3612" s="2" t="s">
        <v>21</v>
      </c>
      <c r="I3612" s="2" t="s">
        <v>8629</v>
      </c>
      <c r="J3612" s="3" t="str">
        <f>HYPERLINK("https://www.boe.es/gazeta/dias/1817/10/16/pdfs/GMD-1817-124.pdf#page=2","Abrir facsímil")</f>
        <v>Abrir facsímil</v>
      </c>
      <c r="K3612" s="3" t="s">
        <v>23</v>
      </c>
    </row>
    <row r="3613" spans="1:11" ht="42" customHeight="1">
      <c r="A3613" s="2" t="s">
        <v>8630</v>
      </c>
      <c r="B3613" s="2" t="s">
        <v>8630</v>
      </c>
      <c r="C3613" s="2" t="s">
        <v>36</v>
      </c>
      <c r="D3613" s="2" t="s">
        <v>37</v>
      </c>
      <c r="E3613" s="5">
        <v>-30247</v>
      </c>
      <c r="F3613" s="3" t="s">
        <v>1796</v>
      </c>
      <c r="G3613" s="3" t="s">
        <v>551</v>
      </c>
      <c r="H3613" s="2" t="s">
        <v>21</v>
      </c>
      <c r="I3613" s="2" t="s">
        <v>8631</v>
      </c>
      <c r="J3613" s="3" t="str">
        <f>HYPERLINK("https://www.boe.es/gazeta/dias/1817/03/08/pdfs/GMD-1817-29.pdf#page=3","Abrir facsímil")</f>
        <v>Abrir facsímil</v>
      </c>
      <c r="K3613" s="3" t="s">
        <v>23</v>
      </c>
    </row>
    <row r="3614" spans="1:11" ht="42" customHeight="1">
      <c r="A3614" s="2" t="s">
        <v>8632</v>
      </c>
      <c r="B3614" s="2" t="s">
        <v>8633</v>
      </c>
      <c r="C3614" s="2" t="s">
        <v>17</v>
      </c>
      <c r="D3614" s="2" t="s">
        <v>18</v>
      </c>
      <c r="E3614" s="5">
        <v>-30177</v>
      </c>
      <c r="F3614" s="3" t="s">
        <v>633</v>
      </c>
      <c r="G3614" s="3" t="s">
        <v>144</v>
      </c>
      <c r="H3614" s="2" t="s">
        <v>21</v>
      </c>
      <c r="I3614" s="2" t="s">
        <v>8634</v>
      </c>
      <c r="J3614" s="3" t="str">
        <f>HYPERLINK("https://www.boe.es/gazeta/dias/1817/05/17/pdfs/GMD-1817-59.pdf#page=4","Abrir facsímil")</f>
        <v>Abrir facsímil</v>
      </c>
      <c r="K3614" s="3" t="s">
        <v>23</v>
      </c>
    </row>
    <row r="3615" spans="1:11" ht="42" customHeight="1">
      <c r="A3615" s="2" t="s">
        <v>8635</v>
      </c>
      <c r="B3615" s="2" t="s">
        <v>8635</v>
      </c>
      <c r="C3615" s="2" t="s">
        <v>510</v>
      </c>
      <c r="D3615" s="2" t="s">
        <v>44</v>
      </c>
      <c r="E3615" s="5">
        <v>-30130</v>
      </c>
      <c r="F3615" s="3" t="s">
        <v>768</v>
      </c>
      <c r="G3615" s="3" t="s">
        <v>629</v>
      </c>
      <c r="H3615" s="2" t="s">
        <v>21</v>
      </c>
      <c r="I3615" s="2" t="s">
        <v>8636</v>
      </c>
      <c r="J3615" s="3" t="str">
        <f>HYPERLINK("https://www.boe.es/gazeta/dias/1817/07/03/pdfs/GMD-1817-79.pdf#page=2","Abrir facsímil")</f>
        <v>Abrir facsímil</v>
      </c>
      <c r="K3615" s="3" t="s">
        <v>23</v>
      </c>
    </row>
    <row r="3616" spans="1:11" ht="42" customHeight="1">
      <c r="A3616" s="2" t="s">
        <v>8637</v>
      </c>
      <c r="B3616" s="2" t="s">
        <v>8638</v>
      </c>
      <c r="C3616" s="2" t="s">
        <v>43</v>
      </c>
      <c r="D3616" s="2" t="s">
        <v>44</v>
      </c>
      <c r="E3616" s="5">
        <v>-30261</v>
      </c>
      <c r="F3616" s="3" t="s">
        <v>226</v>
      </c>
      <c r="G3616" s="3" t="s">
        <v>20</v>
      </c>
      <c r="H3616" s="2" t="s">
        <v>27</v>
      </c>
      <c r="I3616" s="2" t="s">
        <v>8639</v>
      </c>
      <c r="J3616" s="3" t="str">
        <f>HYPERLINK("https://www.boe.es/gazeta/dias/1817/02/22/pdfs/GMD-1817-23.pdf#page=7","Abrir facsímil")</f>
        <v>Abrir facsímil</v>
      </c>
      <c r="K3616" s="3" t="s">
        <v>29</v>
      </c>
    </row>
    <row r="3617" spans="1:11" ht="42" customHeight="1">
      <c r="A3617" s="2" t="s">
        <v>8640</v>
      </c>
      <c r="B3617" s="2" t="s">
        <v>8641</v>
      </c>
      <c r="C3617" s="2" t="s">
        <v>36</v>
      </c>
      <c r="D3617" s="2" t="s">
        <v>37</v>
      </c>
      <c r="E3617" s="5">
        <v>-30109</v>
      </c>
      <c r="F3617" s="3" t="s">
        <v>205</v>
      </c>
      <c r="G3617" s="3" t="s">
        <v>6663</v>
      </c>
      <c r="H3617" s="2" t="s">
        <v>21</v>
      </c>
      <c r="I3617" s="2" t="s">
        <v>8642</v>
      </c>
      <c r="J3617" s="3" t="str">
        <f>HYPERLINK("https://www.boe.es/gazeta/dias/1817/07/24/pdfs/GMD-1817-88.pdf#page=14","Abrir facsímil")</f>
        <v>Abrir facsímil</v>
      </c>
      <c r="K3617" s="3" t="s">
        <v>23</v>
      </c>
    </row>
    <row r="3618" spans="1:11" ht="42" customHeight="1">
      <c r="A3618" s="2" t="s">
        <v>8643</v>
      </c>
      <c r="B3618" s="2" t="s">
        <v>8644</v>
      </c>
      <c r="C3618" s="2" t="s">
        <v>36</v>
      </c>
      <c r="D3618" s="2" t="s">
        <v>37</v>
      </c>
      <c r="E3618" s="5">
        <v>-30128</v>
      </c>
      <c r="F3618" s="3" t="s">
        <v>761</v>
      </c>
      <c r="G3618" s="3" t="s">
        <v>20</v>
      </c>
      <c r="H3618" s="2" t="s">
        <v>21</v>
      </c>
      <c r="I3618" s="2" t="s">
        <v>8645</v>
      </c>
      <c r="J3618" s="3" t="str">
        <f>HYPERLINK("https://www.boe.es/gazeta/dias/1817/07/05/pdfs/GMD-1817-80.pdf#page=7","Abrir facsímil")</f>
        <v>Abrir facsímil</v>
      </c>
      <c r="K3618" s="3" t="s">
        <v>23</v>
      </c>
    </row>
    <row r="3619" spans="1:11" ht="42" customHeight="1">
      <c r="A3619" s="2" t="s">
        <v>8646</v>
      </c>
      <c r="B3619" s="2" t="s">
        <v>8647</v>
      </c>
      <c r="C3619" s="2" t="s">
        <v>36</v>
      </c>
      <c r="D3619" s="2" t="s">
        <v>37</v>
      </c>
      <c r="E3619" s="5">
        <v>-29988</v>
      </c>
      <c r="F3619" s="3" t="s">
        <v>569</v>
      </c>
      <c r="G3619" s="3" t="s">
        <v>112</v>
      </c>
      <c r="H3619" s="2" t="s">
        <v>21</v>
      </c>
      <c r="I3619" s="2" t="s">
        <v>8648</v>
      </c>
      <c r="J3619" s="3" t="str">
        <f>HYPERLINK("https://www.boe.es/gazeta/dias/1817/11/22/pdfs/GMD-1817-140.pdf#page=11","Abrir facsímil")</f>
        <v>Abrir facsímil</v>
      </c>
      <c r="K3619" s="3" t="s">
        <v>23</v>
      </c>
    </row>
    <row r="3620" spans="1:11" ht="42" customHeight="1">
      <c r="A3620" s="2" t="s">
        <v>8649</v>
      </c>
      <c r="B3620" s="2" t="s">
        <v>8650</v>
      </c>
      <c r="C3620" s="2" t="s">
        <v>43</v>
      </c>
      <c r="D3620" s="2" t="s">
        <v>44</v>
      </c>
      <c r="E3620" s="5">
        <v>-30216</v>
      </c>
      <c r="F3620" s="3" t="s">
        <v>344</v>
      </c>
      <c r="G3620" s="3" t="s">
        <v>20</v>
      </c>
      <c r="H3620" s="2" t="s">
        <v>21</v>
      </c>
      <c r="I3620" s="2" t="s">
        <v>8651</v>
      </c>
      <c r="J3620" s="3" t="str">
        <f>HYPERLINK("https://www.boe.es/gazeta/dias/1817/04/08/pdfs/GMD-1817-42.pdf#page=7","Abrir facsímil")</f>
        <v>Abrir facsímil</v>
      </c>
      <c r="K3620" s="3" t="s">
        <v>23</v>
      </c>
    </row>
    <row r="3621" spans="1:11" ht="42" customHeight="1">
      <c r="A3621" s="2" t="s">
        <v>8649</v>
      </c>
      <c r="B3621" s="2" t="s">
        <v>8650</v>
      </c>
      <c r="C3621" s="2" t="s">
        <v>17</v>
      </c>
      <c r="D3621" s="2" t="s">
        <v>18</v>
      </c>
      <c r="E3621" s="5">
        <v>-30216</v>
      </c>
      <c r="F3621" s="3" t="s">
        <v>344</v>
      </c>
      <c r="G3621" s="3" t="s">
        <v>77</v>
      </c>
      <c r="H3621" s="2" t="s">
        <v>21</v>
      </c>
      <c r="I3621" s="2" t="s">
        <v>8652</v>
      </c>
      <c r="J3621" s="3" t="str">
        <f>HYPERLINK("https://www.boe.es/gazeta/dias/1817/04/08/pdfs/GMD-1817-42.pdf#page=8","Abrir facsímil")</f>
        <v>Abrir facsímil</v>
      </c>
      <c r="K3621" s="3" t="s">
        <v>23</v>
      </c>
    </row>
    <row r="3622" spans="1:11" ht="42" customHeight="1">
      <c r="A3622" s="2" t="s">
        <v>8653</v>
      </c>
      <c r="B3622" s="2" t="s">
        <v>8654</v>
      </c>
      <c r="C3622" s="2" t="s">
        <v>36</v>
      </c>
      <c r="D3622" s="2" t="s">
        <v>37</v>
      </c>
      <c r="E3622" s="5">
        <v>-30300</v>
      </c>
      <c r="F3622" s="3" t="s">
        <v>164</v>
      </c>
      <c r="G3622" s="3" t="s">
        <v>57</v>
      </c>
      <c r="H3622" s="2" t="s">
        <v>21</v>
      </c>
      <c r="I3622" s="2" t="s">
        <v>8655</v>
      </c>
      <c r="J3622" s="3" t="str">
        <f>HYPERLINK("https://www.boe.es/gazeta/dias/1817/01/14/pdfs/GMD-1817-6.pdf#page=6","Abrir facsímil")</f>
        <v>Abrir facsímil</v>
      </c>
      <c r="K3622" s="3" t="s">
        <v>23</v>
      </c>
    </row>
    <row r="3623" spans="1:11" ht="42" customHeight="1">
      <c r="A3623" s="2" t="s">
        <v>8656</v>
      </c>
      <c r="B3623" s="2" t="s">
        <v>8657</v>
      </c>
      <c r="C3623" s="2" t="s">
        <v>17</v>
      </c>
      <c r="D3623" s="2" t="s">
        <v>18</v>
      </c>
      <c r="E3623" s="5">
        <v>-30002</v>
      </c>
      <c r="F3623" s="3" t="s">
        <v>469</v>
      </c>
      <c r="G3623" s="3" t="s">
        <v>77</v>
      </c>
      <c r="H3623" s="2" t="s">
        <v>21</v>
      </c>
      <c r="I3623" s="2" t="s">
        <v>8658</v>
      </c>
      <c r="J3623" s="3" t="str">
        <f>HYPERLINK("https://www.boe.es/gazeta/dias/1817/11/08/pdfs/GMD-1817-134.pdf#page=8","Abrir facsímil")</f>
        <v>Abrir facsímil</v>
      </c>
      <c r="K3623" s="3" t="s">
        <v>23</v>
      </c>
    </row>
    <row r="3624" spans="1:11" ht="42" customHeight="1">
      <c r="A3624" s="2" t="s">
        <v>8659</v>
      </c>
      <c r="B3624" s="2" t="s">
        <v>8660</v>
      </c>
      <c r="C3624" s="2" t="s">
        <v>36</v>
      </c>
      <c r="D3624" s="2" t="s">
        <v>37</v>
      </c>
      <c r="E3624" s="5">
        <v>-30272</v>
      </c>
      <c r="F3624" s="3" t="s">
        <v>493</v>
      </c>
      <c r="G3624" s="3" t="s">
        <v>39</v>
      </c>
      <c r="H3624" s="2" t="s">
        <v>21</v>
      </c>
      <c r="I3624" s="2" t="s">
        <v>8661</v>
      </c>
      <c r="J3624" s="3" t="str">
        <f>HYPERLINK("https://www.boe.es/gazeta/dias/1817/02/11/pdfs/GMD-1817-18.pdf#page=5","Abrir facsímil")</f>
        <v>Abrir facsímil</v>
      </c>
      <c r="K3624" s="3" t="s">
        <v>23</v>
      </c>
    </row>
    <row r="3625" spans="1:11" ht="42" customHeight="1">
      <c r="A3625" s="2" t="s">
        <v>8662</v>
      </c>
      <c r="B3625" s="2" t="s">
        <v>8663</v>
      </c>
      <c r="C3625" s="2" t="s">
        <v>36</v>
      </c>
      <c r="D3625" s="2" t="s">
        <v>37</v>
      </c>
      <c r="E3625" s="5">
        <v>-30265</v>
      </c>
      <c r="F3625" s="3" t="s">
        <v>107</v>
      </c>
      <c r="G3625" s="3" t="s">
        <v>77</v>
      </c>
      <c r="H3625" s="2" t="s">
        <v>21</v>
      </c>
      <c r="I3625" s="2" t="s">
        <v>8664</v>
      </c>
      <c r="J3625" s="3" t="str">
        <f>HYPERLINK("https://www.boe.es/gazeta/dias/1817/02/18/pdfs/GMD-1817-21.pdf#page=8","Abrir facsímil")</f>
        <v>Abrir facsímil</v>
      </c>
      <c r="K3625" s="3" t="s">
        <v>23</v>
      </c>
    </row>
    <row r="3626" spans="1:11" ht="42" customHeight="1">
      <c r="A3626" s="2" t="s">
        <v>8665</v>
      </c>
      <c r="B3626" s="2" t="s">
        <v>8665</v>
      </c>
      <c r="C3626" s="2" t="s">
        <v>36</v>
      </c>
      <c r="D3626" s="2" t="s">
        <v>37</v>
      </c>
      <c r="E3626" s="5">
        <v>-30030</v>
      </c>
      <c r="F3626" s="3" t="s">
        <v>508</v>
      </c>
      <c r="G3626" s="3" t="s">
        <v>72</v>
      </c>
      <c r="H3626" s="2" t="s">
        <v>21</v>
      </c>
      <c r="I3626" s="2" t="s">
        <v>8666</v>
      </c>
      <c r="J3626" s="3" t="str">
        <f>HYPERLINK("https://www.boe.es/gazeta/dias/1817/10/11/pdfs/GMD-1817-122.pdf#page=1","Abrir facsímil")</f>
        <v>Abrir facsímil</v>
      </c>
      <c r="K3626" s="3" t="s">
        <v>23</v>
      </c>
    </row>
    <row r="3627" spans="1:11" ht="42" customHeight="1">
      <c r="A3627" s="2" t="s">
        <v>8667</v>
      </c>
      <c r="B3627" s="2" t="s">
        <v>8667</v>
      </c>
      <c r="C3627" s="2" t="s">
        <v>36</v>
      </c>
      <c r="D3627" s="2" t="s">
        <v>37</v>
      </c>
      <c r="E3627" s="5">
        <v>-30235</v>
      </c>
      <c r="F3627" s="3" t="s">
        <v>398</v>
      </c>
      <c r="G3627" s="3" t="s">
        <v>72</v>
      </c>
      <c r="H3627" s="2" t="s">
        <v>21</v>
      </c>
      <c r="I3627" s="2" t="s">
        <v>8668</v>
      </c>
      <c r="J3627" s="3" t="str">
        <f>HYPERLINK("https://www.boe.es/gazeta/dias/1817/03/20/pdfs/GMD-1817-34.pdf#page=1","Abrir facsímil")</f>
        <v>Abrir facsímil</v>
      </c>
      <c r="K3627" s="3" t="s">
        <v>23</v>
      </c>
    </row>
    <row r="3628" spans="1:11" ht="42" customHeight="1">
      <c r="A3628" s="2" t="s">
        <v>8669</v>
      </c>
      <c r="B3628" s="2" t="s">
        <v>8669</v>
      </c>
      <c r="C3628" s="2" t="s">
        <v>36</v>
      </c>
      <c r="D3628" s="2" t="s">
        <v>37</v>
      </c>
      <c r="E3628" s="5">
        <v>-30230</v>
      </c>
      <c r="F3628" s="3" t="s">
        <v>189</v>
      </c>
      <c r="G3628" s="3" t="s">
        <v>144</v>
      </c>
      <c r="H3628" s="2" t="s">
        <v>21</v>
      </c>
      <c r="I3628" s="2" t="s">
        <v>8670</v>
      </c>
      <c r="J3628" s="3" t="str">
        <f>HYPERLINK("https://www.boe.es/gazeta/dias/1817/03/25/pdfs/GMD-1817-36.pdf#page=4","Abrir facsímil")</f>
        <v>Abrir facsímil</v>
      </c>
      <c r="K3628" s="3" t="s">
        <v>23</v>
      </c>
    </row>
    <row r="3629" spans="1:11" ht="42" customHeight="1">
      <c r="A3629" s="2" t="s">
        <v>8671</v>
      </c>
      <c r="B3629" s="2" t="s">
        <v>8672</v>
      </c>
      <c r="C3629" s="2" t="s">
        <v>36</v>
      </c>
      <c r="D3629" s="2" t="s">
        <v>37</v>
      </c>
      <c r="E3629" s="5">
        <v>-30079</v>
      </c>
      <c r="F3629" s="3" t="s">
        <v>45</v>
      </c>
      <c r="G3629" s="3" t="s">
        <v>39</v>
      </c>
      <c r="H3629" s="2" t="s">
        <v>21</v>
      </c>
      <c r="I3629" s="2" t="s">
        <v>8673</v>
      </c>
      <c r="J3629" s="3" t="str">
        <f>HYPERLINK("https://www.boe.es/gazeta/dias/1817/08/23/pdfs/GMD-1817-101.pdf#page=5","Abrir facsímil")</f>
        <v>Abrir facsímil</v>
      </c>
      <c r="K3629" s="3" t="s">
        <v>23</v>
      </c>
    </row>
    <row r="3630" spans="1:11" ht="42" customHeight="1">
      <c r="A3630" s="2" t="s">
        <v>8674</v>
      </c>
      <c r="B3630" s="2" t="s">
        <v>8674</v>
      </c>
      <c r="C3630" s="2" t="s">
        <v>43</v>
      </c>
      <c r="D3630" s="2" t="s">
        <v>44</v>
      </c>
      <c r="E3630" s="5">
        <v>-30207</v>
      </c>
      <c r="F3630" s="3" t="s">
        <v>1139</v>
      </c>
      <c r="G3630" s="3" t="s">
        <v>629</v>
      </c>
      <c r="H3630" s="2" t="s">
        <v>21</v>
      </c>
      <c r="I3630" s="2" t="s">
        <v>8675</v>
      </c>
      <c r="J3630" s="3" t="str">
        <f>HYPERLINK("https://www.boe.es/gazeta/dias/1817/04/17/pdfs/GMD-1817-46.pdf#page=2","Abrir facsímil")</f>
        <v>Abrir facsímil</v>
      </c>
      <c r="K3630" s="3" t="s">
        <v>23</v>
      </c>
    </row>
    <row r="3631" spans="1:11" ht="42" customHeight="1">
      <c r="A3631" s="2" t="s">
        <v>8676</v>
      </c>
      <c r="B3631" s="2" t="s">
        <v>8677</v>
      </c>
      <c r="C3631" s="2" t="s">
        <v>36</v>
      </c>
      <c r="D3631" s="2" t="s">
        <v>37</v>
      </c>
      <c r="E3631" s="5">
        <v>-30172</v>
      </c>
      <c r="F3631" s="3" t="s">
        <v>991</v>
      </c>
      <c r="G3631" s="3" t="s">
        <v>39</v>
      </c>
      <c r="H3631" s="2" t="s">
        <v>21</v>
      </c>
      <c r="I3631" s="2" t="s">
        <v>8678</v>
      </c>
      <c r="J3631" s="3" t="str">
        <f>HYPERLINK("https://www.boe.es/gazeta/dias/1817/05/22/pdfs/GMD-1817-61.pdf#page=5","Abrir facsímil")</f>
        <v>Abrir facsímil</v>
      </c>
      <c r="K3631" s="3" t="s">
        <v>23</v>
      </c>
    </row>
    <row r="3632" spans="1:11" ht="42" customHeight="1">
      <c r="A3632" s="2" t="s">
        <v>8679</v>
      </c>
      <c r="B3632" s="2" t="s">
        <v>8680</v>
      </c>
      <c r="C3632" s="2" t="s">
        <v>17</v>
      </c>
      <c r="D3632" s="2" t="s">
        <v>18</v>
      </c>
      <c r="E3632" s="5">
        <v>-30286</v>
      </c>
      <c r="F3632" s="3" t="s">
        <v>354</v>
      </c>
      <c r="G3632" s="3" t="s">
        <v>1580</v>
      </c>
      <c r="H3632" s="2" t="s">
        <v>21</v>
      </c>
      <c r="I3632" s="2" t="s">
        <v>8681</v>
      </c>
      <c r="J3632" s="3" t="str">
        <f>HYPERLINK("https://www.boe.es/gazeta/dias/1817/01/28/pdfs/GMD-1817-12.pdf#page=5","Abrir facsímil")</f>
        <v>Abrir facsímil</v>
      </c>
      <c r="K3632" s="3" t="s">
        <v>23</v>
      </c>
    </row>
    <row r="3633" spans="1:11" ht="42" customHeight="1">
      <c r="A3633" s="2" t="s">
        <v>8682</v>
      </c>
      <c r="B3633" s="2" t="s">
        <v>8682</v>
      </c>
      <c r="C3633" s="2" t="s">
        <v>36</v>
      </c>
      <c r="D3633" s="2" t="s">
        <v>37</v>
      </c>
      <c r="E3633" s="5">
        <v>-30240</v>
      </c>
      <c r="F3633" s="3" t="s">
        <v>347</v>
      </c>
      <c r="G3633" s="3" t="s">
        <v>72</v>
      </c>
      <c r="H3633" s="2" t="s">
        <v>21</v>
      </c>
      <c r="I3633" s="2" t="s">
        <v>8683</v>
      </c>
      <c r="J3633" s="3" t="str">
        <f>HYPERLINK("https://www.boe.es/gazeta/dias/1817/03/15/pdfs/GMD-1817-32.pdf#page=1","Abrir facsímil")</f>
        <v>Abrir facsímil</v>
      </c>
      <c r="K3633" s="3" t="s">
        <v>23</v>
      </c>
    </row>
    <row r="3634" spans="1:11" ht="42" customHeight="1">
      <c r="A3634" s="2" t="s">
        <v>8684</v>
      </c>
      <c r="B3634" s="2" t="s">
        <v>8684</v>
      </c>
      <c r="C3634" s="2" t="s">
        <v>36</v>
      </c>
      <c r="D3634" s="2" t="s">
        <v>37</v>
      </c>
      <c r="E3634" s="5">
        <v>-30102</v>
      </c>
      <c r="F3634" s="3" t="s">
        <v>502</v>
      </c>
      <c r="G3634" s="3" t="s">
        <v>629</v>
      </c>
      <c r="H3634" s="2" t="s">
        <v>21</v>
      </c>
      <c r="I3634" s="2" t="s">
        <v>8685</v>
      </c>
      <c r="J3634" s="3" t="str">
        <f>HYPERLINK("https://www.boe.es/gazeta/dias/1817/07/31/pdfs/GMD-1817-91.pdf#page=2","Abrir facsímil")</f>
        <v>Abrir facsímil</v>
      </c>
      <c r="K3634" s="3" t="s">
        <v>23</v>
      </c>
    </row>
    <row r="3635" spans="1:11" ht="42" customHeight="1">
      <c r="A3635" s="2" t="s">
        <v>8686</v>
      </c>
      <c r="B3635" s="2" t="s">
        <v>8686</v>
      </c>
      <c r="C3635" s="2" t="s">
        <v>36</v>
      </c>
      <c r="D3635" s="2" t="s">
        <v>37</v>
      </c>
      <c r="E3635" s="5">
        <v>-30277</v>
      </c>
      <c r="F3635" s="3" t="s">
        <v>3822</v>
      </c>
      <c r="G3635" s="3" t="s">
        <v>72</v>
      </c>
      <c r="H3635" s="2" t="s">
        <v>21</v>
      </c>
      <c r="I3635" s="2" t="s">
        <v>8687</v>
      </c>
      <c r="J3635" s="3" t="str">
        <f>HYPERLINK("https://www.boe.es/gazeta/dias/1817/02/06/pdfs/GMD-1817-16.pdf#page=1","Abrir facsímil")</f>
        <v>Abrir facsímil</v>
      </c>
      <c r="K3635" s="3" t="s">
        <v>23</v>
      </c>
    </row>
    <row r="3636" spans="1:11" ht="42" customHeight="1">
      <c r="A3636" s="2" t="s">
        <v>8688</v>
      </c>
      <c r="B3636" s="2" t="s">
        <v>8688</v>
      </c>
      <c r="C3636" s="2" t="s">
        <v>36</v>
      </c>
      <c r="D3636" s="2" t="s">
        <v>37</v>
      </c>
      <c r="E3636" s="5">
        <v>-30025</v>
      </c>
      <c r="F3636" s="3" t="s">
        <v>458</v>
      </c>
      <c r="G3636" s="3" t="s">
        <v>629</v>
      </c>
      <c r="H3636" s="2" t="s">
        <v>21</v>
      </c>
      <c r="I3636" s="2" t="s">
        <v>8689</v>
      </c>
      <c r="J3636" s="3" t="str">
        <f>HYPERLINK("https://www.boe.es/gazeta/dias/1817/10/16/pdfs/GMD-1817-124.pdf#page=2","Abrir facsímil")</f>
        <v>Abrir facsímil</v>
      </c>
      <c r="K3636" s="3" t="s">
        <v>23</v>
      </c>
    </row>
    <row r="3637" spans="1:11" ht="42" customHeight="1">
      <c r="A3637" s="2" t="s">
        <v>8690</v>
      </c>
      <c r="B3637" s="2" t="s">
        <v>8691</v>
      </c>
      <c r="C3637" s="2" t="s">
        <v>17</v>
      </c>
      <c r="D3637" s="2" t="s">
        <v>18</v>
      </c>
      <c r="E3637" s="5">
        <v>-30090</v>
      </c>
      <c r="F3637" s="3" t="s">
        <v>89</v>
      </c>
      <c r="G3637" s="3" t="s">
        <v>57</v>
      </c>
      <c r="H3637" s="2" t="s">
        <v>21</v>
      </c>
      <c r="I3637" s="2" t="s">
        <v>8692</v>
      </c>
      <c r="J3637" s="3" t="str">
        <f>HYPERLINK("https://www.boe.es/gazeta/dias/1817/08/12/pdfs/GMD-1817-96.pdf#page=6","Abrir facsímil")</f>
        <v>Abrir facsímil</v>
      </c>
      <c r="K3637" s="3" t="s">
        <v>23</v>
      </c>
    </row>
    <row r="3638" spans="1:11" ht="42" customHeight="1">
      <c r="A3638" s="2" t="s">
        <v>8693</v>
      </c>
      <c r="B3638" s="2" t="s">
        <v>8693</v>
      </c>
      <c r="C3638" s="2" t="s">
        <v>43</v>
      </c>
      <c r="D3638" s="2" t="s">
        <v>44</v>
      </c>
      <c r="E3638" s="5">
        <v>-30111</v>
      </c>
      <c r="F3638" s="3" t="s">
        <v>1017</v>
      </c>
      <c r="G3638" s="3" t="s">
        <v>72</v>
      </c>
      <c r="H3638" s="2" t="s">
        <v>21</v>
      </c>
      <c r="I3638" s="2" t="s">
        <v>8694</v>
      </c>
      <c r="J3638" s="3" t="str">
        <f>HYPERLINK("https://www.boe.es/gazeta/dias/1817/07/22/pdfs/GMD-1817-87.pdf#page=1","Abrir facsímil")</f>
        <v>Abrir facsímil</v>
      </c>
      <c r="K3638" s="3" t="s">
        <v>23</v>
      </c>
    </row>
    <row r="3639" spans="1:11" ht="42" customHeight="1">
      <c r="A3639" s="2" t="s">
        <v>8695</v>
      </c>
      <c r="B3639" s="2" t="s">
        <v>8695</v>
      </c>
      <c r="C3639" s="2" t="s">
        <v>17</v>
      </c>
      <c r="D3639" s="2" t="s">
        <v>18</v>
      </c>
      <c r="E3639" s="5">
        <v>-30181</v>
      </c>
      <c r="F3639" s="3" t="s">
        <v>3337</v>
      </c>
      <c r="G3639" s="3" t="s">
        <v>87</v>
      </c>
      <c r="H3639" s="2" t="s">
        <v>21</v>
      </c>
      <c r="I3639" s="2" t="s">
        <v>8696</v>
      </c>
      <c r="J3639" s="3" t="str">
        <f>HYPERLINK("https://www.boe.es/gazeta/dias/1817/05/13/pdfs/GMD-1817-57.pdf#page=2","Abrir facsímil")</f>
        <v>Abrir facsímil</v>
      </c>
      <c r="K3639" s="3" t="s">
        <v>23</v>
      </c>
    </row>
    <row r="3640" spans="1:11" ht="42" customHeight="1">
      <c r="A3640" s="2" t="s">
        <v>8695</v>
      </c>
      <c r="B3640" s="2" t="s">
        <v>8695</v>
      </c>
      <c r="C3640" s="2" t="s">
        <v>17</v>
      </c>
      <c r="D3640" s="2" t="s">
        <v>18</v>
      </c>
      <c r="E3640" s="5">
        <v>-30137</v>
      </c>
      <c r="F3640" s="3" t="s">
        <v>935</v>
      </c>
      <c r="G3640" s="3" t="s">
        <v>72</v>
      </c>
      <c r="H3640" s="2" t="s">
        <v>21</v>
      </c>
      <c r="I3640" s="2" t="s">
        <v>8697</v>
      </c>
      <c r="J3640" s="3" t="str">
        <f>HYPERLINK("https://www.boe.es/gazeta/dias/1817/06/26/pdfs/GMD-1817-76.pdf#page=1","Abrir facsímil")</f>
        <v>Abrir facsímil</v>
      </c>
      <c r="K3640" s="3" t="s">
        <v>23</v>
      </c>
    </row>
    <row r="3641" spans="1:11" ht="42" customHeight="1">
      <c r="A3641" s="2" t="s">
        <v>8695</v>
      </c>
      <c r="B3641" s="2" t="s">
        <v>8695</v>
      </c>
      <c r="C3641" s="2" t="s">
        <v>49</v>
      </c>
      <c r="D3641" s="2" t="s">
        <v>44</v>
      </c>
      <c r="E3641" s="5">
        <v>-30027</v>
      </c>
      <c r="F3641" s="3" t="s">
        <v>173</v>
      </c>
      <c r="G3641" s="3" t="s">
        <v>72</v>
      </c>
      <c r="H3641" s="2" t="s">
        <v>21</v>
      </c>
      <c r="I3641" s="2" t="s">
        <v>8698</v>
      </c>
      <c r="J3641" s="3" t="str">
        <f>HYPERLINK("https://www.boe.es/gazeta/dias/1817/10/14/pdfs/GMD-1817-123.pdf#page=1","Abrir facsímil")</f>
        <v>Abrir facsímil</v>
      </c>
      <c r="K3641" s="3" t="s">
        <v>23</v>
      </c>
    </row>
    <row r="3642" spans="1:11" ht="42" customHeight="1">
      <c r="A3642" s="2" t="s">
        <v>8699</v>
      </c>
      <c r="B3642" s="2" t="s">
        <v>8699</v>
      </c>
      <c r="C3642" s="2" t="s">
        <v>36</v>
      </c>
      <c r="D3642" s="2" t="s">
        <v>37</v>
      </c>
      <c r="E3642" s="5">
        <v>-30200</v>
      </c>
      <c r="F3642" s="3" t="s">
        <v>725</v>
      </c>
      <c r="G3642" s="3" t="s">
        <v>629</v>
      </c>
      <c r="H3642" s="2" t="s">
        <v>21</v>
      </c>
      <c r="I3642" s="2" t="s">
        <v>8700</v>
      </c>
      <c r="J3642" s="3" t="str">
        <f>HYPERLINK("https://www.boe.es/gazeta/dias/1817/04/24/pdfs/GMD-1817-49.pdf#page=2","Abrir facsímil")</f>
        <v>Abrir facsímil</v>
      </c>
      <c r="K3642" s="3" t="s">
        <v>23</v>
      </c>
    </row>
    <row r="3643" spans="1:11" ht="42" customHeight="1">
      <c r="A3643" s="2" t="s">
        <v>8701</v>
      </c>
      <c r="B3643" s="2" t="s">
        <v>8701</v>
      </c>
      <c r="C3643" s="2" t="s">
        <v>55</v>
      </c>
      <c r="D3643" s="2" t="s">
        <v>44</v>
      </c>
      <c r="E3643" s="5">
        <v>-30221</v>
      </c>
      <c r="F3643" s="3" t="s">
        <v>256</v>
      </c>
      <c r="G3643" s="3" t="s">
        <v>77</v>
      </c>
      <c r="H3643" s="2" t="s">
        <v>21</v>
      </c>
      <c r="I3643" s="2" t="s">
        <v>8702</v>
      </c>
      <c r="J3643" s="3" t="str">
        <f>HYPERLINK("https://www.boe.es/gazeta/dias/1817/04/03/pdfs/GMD-1817-40.pdf#page=8","Abrir facsímil")</f>
        <v>Abrir facsímil</v>
      </c>
      <c r="K3643" s="3" t="s">
        <v>23</v>
      </c>
    </row>
    <row r="3644" spans="1:11" ht="42" customHeight="1">
      <c r="A3644" s="2" t="s">
        <v>8703</v>
      </c>
      <c r="B3644" s="2" t="s">
        <v>8703</v>
      </c>
      <c r="C3644" s="2" t="s">
        <v>36</v>
      </c>
      <c r="D3644" s="2" t="s">
        <v>37</v>
      </c>
      <c r="E3644" s="5">
        <v>-29988</v>
      </c>
      <c r="F3644" s="3" t="s">
        <v>569</v>
      </c>
      <c r="G3644" s="3" t="s">
        <v>72</v>
      </c>
      <c r="H3644" s="2" t="s">
        <v>21</v>
      </c>
      <c r="I3644" s="2" t="s">
        <v>8704</v>
      </c>
      <c r="J3644" s="3" t="str">
        <f>HYPERLINK("https://www.boe.es/gazeta/dias/1817/11/22/pdfs/GMD-1817-140.pdf#page=1","Abrir facsímil")</f>
        <v>Abrir facsímil</v>
      </c>
      <c r="K3644" s="3" t="s">
        <v>23</v>
      </c>
    </row>
    <row r="3645" spans="1:11" ht="42" customHeight="1">
      <c r="A3645" s="2" t="s">
        <v>8705</v>
      </c>
      <c r="B3645" s="2" t="s">
        <v>8705</v>
      </c>
      <c r="C3645" s="2" t="s">
        <v>43</v>
      </c>
      <c r="D3645" s="2" t="s">
        <v>44</v>
      </c>
      <c r="E3645" s="5">
        <v>-30020</v>
      </c>
      <c r="F3645" s="3" t="s">
        <v>291</v>
      </c>
      <c r="G3645" s="3" t="s">
        <v>72</v>
      </c>
      <c r="H3645" s="2" t="s">
        <v>21</v>
      </c>
      <c r="I3645" s="2" t="s">
        <v>8706</v>
      </c>
      <c r="J3645" s="3" t="str">
        <f>HYPERLINK("https://www.boe.es/gazeta/dias/1817/10/21/pdfs/GMD-1817-126.pdf#page=1","Abrir facsímil")</f>
        <v>Abrir facsímil</v>
      </c>
      <c r="K3645" s="3" t="s">
        <v>23</v>
      </c>
    </row>
    <row r="3646" spans="1:11" ht="42" customHeight="1">
      <c r="A3646" s="2" t="s">
        <v>8707</v>
      </c>
      <c r="B3646" s="2" t="s">
        <v>8708</v>
      </c>
      <c r="C3646" s="2" t="s">
        <v>36</v>
      </c>
      <c r="D3646" s="2" t="s">
        <v>37</v>
      </c>
      <c r="E3646" s="5">
        <v>-30086</v>
      </c>
      <c r="F3646" s="3" t="s">
        <v>221</v>
      </c>
      <c r="G3646" s="3" t="s">
        <v>72</v>
      </c>
      <c r="H3646" s="2" t="s">
        <v>21</v>
      </c>
      <c r="I3646" s="2" t="s">
        <v>8709</v>
      </c>
      <c r="J3646" s="3" t="str">
        <f>HYPERLINK("https://www.boe.es/gazeta/dias/1817/08/16/pdfs/GMD-1817-98.pdf#page=1","Abrir facsímil")</f>
        <v>Abrir facsímil</v>
      </c>
      <c r="K3646" s="3" t="s">
        <v>23</v>
      </c>
    </row>
    <row r="3647" spans="1:11" ht="42" customHeight="1">
      <c r="A3647" s="2" t="s">
        <v>8710</v>
      </c>
      <c r="B3647" s="2" t="s">
        <v>8710</v>
      </c>
      <c r="C3647" s="2" t="s">
        <v>55</v>
      </c>
      <c r="D3647" s="2" t="s">
        <v>44</v>
      </c>
      <c r="E3647" s="5">
        <v>-29990</v>
      </c>
      <c r="F3647" s="3" t="s">
        <v>542</v>
      </c>
      <c r="G3647" s="3" t="s">
        <v>551</v>
      </c>
      <c r="H3647" s="2" t="s">
        <v>21</v>
      </c>
      <c r="I3647" s="2" t="s">
        <v>8711</v>
      </c>
      <c r="J3647" s="3" t="str">
        <f>HYPERLINK("https://www.boe.es/gazeta/dias/1817/11/20/pdfs/GMD-1817-139.pdf#page=3","Abrir facsímil")</f>
        <v>Abrir facsímil</v>
      </c>
      <c r="K3647" s="3" t="s">
        <v>23</v>
      </c>
    </row>
    <row r="3648" spans="1:11" ht="42" customHeight="1">
      <c r="A3648" s="2" t="s">
        <v>8712</v>
      </c>
      <c r="B3648" s="2" t="s">
        <v>8713</v>
      </c>
      <c r="C3648" s="2" t="s">
        <v>43</v>
      </c>
      <c r="D3648" s="2" t="s">
        <v>44</v>
      </c>
      <c r="E3648" s="5">
        <v>-30286</v>
      </c>
      <c r="F3648" s="3" t="s">
        <v>354</v>
      </c>
      <c r="G3648" s="3" t="s">
        <v>57</v>
      </c>
      <c r="H3648" s="2" t="s">
        <v>21</v>
      </c>
      <c r="I3648" s="2" t="s">
        <v>8714</v>
      </c>
      <c r="J3648" s="3" t="str">
        <f>HYPERLINK("https://www.boe.es/gazeta/dias/1817/01/28/pdfs/GMD-1817-12.pdf#page=6","Abrir facsímil")</f>
        <v>Abrir facsímil</v>
      </c>
      <c r="K3648" s="3" t="s">
        <v>23</v>
      </c>
    </row>
    <row r="3649" spans="1:11" ht="42" customHeight="1">
      <c r="A3649" s="2" t="s">
        <v>8712</v>
      </c>
      <c r="B3649" s="2" t="s">
        <v>8713</v>
      </c>
      <c r="C3649" s="2" t="s">
        <v>36</v>
      </c>
      <c r="D3649" s="2" t="s">
        <v>37</v>
      </c>
      <c r="E3649" s="5">
        <v>-30265</v>
      </c>
      <c r="F3649" s="3" t="s">
        <v>107</v>
      </c>
      <c r="G3649" s="3" t="s">
        <v>4980</v>
      </c>
      <c r="H3649" s="2" t="s">
        <v>21</v>
      </c>
      <c r="I3649" s="2" t="s">
        <v>8715</v>
      </c>
      <c r="J3649" s="3" t="str">
        <f>HYPERLINK("https://www.boe.es/gazeta/dias/1817/02/18/pdfs/GMD-1817-21.pdf#page=4","Abrir facsímil")</f>
        <v>Abrir facsímil</v>
      </c>
      <c r="K3649" s="3" t="s">
        <v>23</v>
      </c>
    </row>
    <row r="3650" spans="1:11" ht="42" customHeight="1">
      <c r="A3650" s="2" t="s">
        <v>8716</v>
      </c>
      <c r="B3650" s="2" t="s">
        <v>8717</v>
      </c>
      <c r="C3650" s="2" t="s">
        <v>49</v>
      </c>
      <c r="D3650" s="2" t="s">
        <v>44</v>
      </c>
      <c r="E3650" s="5">
        <v>-29992</v>
      </c>
      <c r="F3650" s="3" t="s">
        <v>50</v>
      </c>
      <c r="G3650" s="3" t="s">
        <v>51</v>
      </c>
      <c r="H3650" s="2" t="s">
        <v>21</v>
      </c>
      <c r="I3650" s="2" t="s">
        <v>8718</v>
      </c>
      <c r="J3650" s="3" t="str">
        <f>HYPERLINK("https://www.boe.es/gazeta/dias/1817/11/18/pdfs/GMD-1817-138.pdf#page=8","Abrir facsímil")</f>
        <v>Abrir facsímil</v>
      </c>
      <c r="K3650" s="3" t="s">
        <v>23</v>
      </c>
    </row>
    <row r="3651" spans="1:11" ht="42" customHeight="1">
      <c r="A3651" s="2" t="s">
        <v>8719</v>
      </c>
      <c r="B3651" s="2" t="s">
        <v>8719</v>
      </c>
      <c r="C3651" s="2" t="s">
        <v>36</v>
      </c>
      <c r="D3651" s="2" t="s">
        <v>37</v>
      </c>
      <c r="E3651" s="5">
        <v>-30244</v>
      </c>
      <c r="F3651" s="3" t="s">
        <v>1482</v>
      </c>
      <c r="G3651" s="3" t="s">
        <v>72</v>
      </c>
      <c r="H3651" s="2" t="s">
        <v>21</v>
      </c>
      <c r="I3651" s="2" t="s">
        <v>8720</v>
      </c>
      <c r="J3651" s="3" t="str">
        <f>HYPERLINK("https://www.boe.es/gazeta/dias/1817/03/11/pdfs/GMD-1817-30.pdf#page=1","Abrir facsímil")</f>
        <v>Abrir facsímil</v>
      </c>
      <c r="K3651" s="3" t="s">
        <v>23</v>
      </c>
    </row>
    <row r="3652" spans="1:11" ht="42" customHeight="1">
      <c r="A3652" s="2" t="s">
        <v>8721</v>
      </c>
      <c r="B3652" s="2" t="s">
        <v>8722</v>
      </c>
      <c r="C3652" s="2" t="s">
        <v>55</v>
      </c>
      <c r="D3652" s="2" t="s">
        <v>44</v>
      </c>
      <c r="E3652" s="5">
        <v>-30233</v>
      </c>
      <c r="F3652" s="3" t="s">
        <v>577</v>
      </c>
      <c r="G3652" s="3" t="s">
        <v>578</v>
      </c>
      <c r="H3652" s="2" t="s">
        <v>21</v>
      </c>
      <c r="I3652" s="2" t="s">
        <v>8723</v>
      </c>
      <c r="J3652" s="3" t="str">
        <f>HYPERLINK("https://www.boe.es/gazeta/dias/1817/03/22/pdfs/GMD-1817-35.pdf#page=8","Abrir facsímil")</f>
        <v>Abrir facsímil</v>
      </c>
      <c r="K3652" s="3" t="s">
        <v>23</v>
      </c>
    </row>
    <row r="3653" spans="1:11" ht="42" customHeight="1">
      <c r="A3653" s="2" t="s">
        <v>8721</v>
      </c>
      <c r="B3653" s="2" t="s">
        <v>8722</v>
      </c>
      <c r="C3653" s="2" t="s">
        <v>55</v>
      </c>
      <c r="D3653" s="2" t="s">
        <v>44</v>
      </c>
      <c r="E3653" s="5">
        <v>-30011</v>
      </c>
      <c r="F3653" s="3" t="s">
        <v>313</v>
      </c>
      <c r="G3653" s="3" t="s">
        <v>82</v>
      </c>
      <c r="H3653" s="2" t="s">
        <v>21</v>
      </c>
      <c r="I3653" s="2" t="s">
        <v>8724</v>
      </c>
      <c r="J3653" s="3" t="str">
        <f>HYPERLINK("https://www.boe.es/gazeta/dias/1817/10/30/pdfs/GMD-1817-130.pdf#page=12","Abrir facsímil")</f>
        <v>Abrir facsímil</v>
      </c>
      <c r="K3653" s="3" t="s">
        <v>23</v>
      </c>
    </row>
    <row r="3654" spans="1:11" ht="42" customHeight="1">
      <c r="A3654" s="2" t="s">
        <v>8725</v>
      </c>
      <c r="B3654" s="2" t="s">
        <v>8725</v>
      </c>
      <c r="C3654" s="2" t="s">
        <v>43</v>
      </c>
      <c r="D3654" s="2" t="s">
        <v>44</v>
      </c>
      <c r="E3654" s="5">
        <v>-30181</v>
      </c>
      <c r="F3654" s="3" t="s">
        <v>3337</v>
      </c>
      <c r="G3654" s="3" t="s">
        <v>4249</v>
      </c>
      <c r="H3654" s="2" t="s">
        <v>21</v>
      </c>
      <c r="I3654" s="2" t="s">
        <v>8726</v>
      </c>
      <c r="J3654" s="3" t="str">
        <f>HYPERLINK("https://www.boe.es/gazeta/dias/1817/05/13/pdfs/GMD-1817-57.pdf#page=3","Abrir facsímil")</f>
        <v>Abrir facsímil</v>
      </c>
      <c r="K3654" s="3" t="s">
        <v>23</v>
      </c>
    </row>
    <row r="3655" spans="1:11" ht="42" customHeight="1">
      <c r="A3655" s="2" t="s">
        <v>8725</v>
      </c>
      <c r="B3655" s="2" t="s">
        <v>8725</v>
      </c>
      <c r="C3655" s="2" t="s">
        <v>36</v>
      </c>
      <c r="D3655" s="2" t="s">
        <v>37</v>
      </c>
      <c r="E3655" s="5">
        <v>-30041</v>
      </c>
      <c r="F3655" s="3" t="s">
        <v>260</v>
      </c>
      <c r="G3655" s="3" t="s">
        <v>1151</v>
      </c>
      <c r="H3655" s="2" t="s">
        <v>21</v>
      </c>
      <c r="I3655" s="2" t="s">
        <v>8727</v>
      </c>
      <c r="J3655" s="3" t="str">
        <f>HYPERLINK("https://www.boe.es/gazeta/dias/1817/09/30/pdfs/GMD-1817-117.pdf#page=4","Abrir facsímil")</f>
        <v>Abrir facsímil</v>
      </c>
      <c r="K3655" s="3" t="s">
        <v>23</v>
      </c>
    </row>
    <row r="3656" spans="1:11" ht="42" customHeight="1">
      <c r="A3656" s="2" t="s">
        <v>8728</v>
      </c>
      <c r="B3656" s="2" t="s">
        <v>8729</v>
      </c>
      <c r="C3656" s="2" t="s">
        <v>36</v>
      </c>
      <c r="D3656" s="2" t="s">
        <v>37</v>
      </c>
      <c r="E3656" s="5">
        <v>-30151</v>
      </c>
      <c r="F3656" s="3" t="s">
        <v>1422</v>
      </c>
      <c r="G3656" s="3" t="s">
        <v>39</v>
      </c>
      <c r="H3656" s="2" t="s">
        <v>27</v>
      </c>
      <c r="I3656" s="2" t="s">
        <v>8730</v>
      </c>
      <c r="J3656" s="3" t="str">
        <f>HYPERLINK("https://www.boe.es/gazeta/dias/1817/06/12/pdfs/GMD-1817-70.pdf#page=5","Abrir facsímil")</f>
        <v>Abrir facsímil</v>
      </c>
      <c r="K3656" s="3" t="s">
        <v>29</v>
      </c>
    </row>
    <row r="3657" spans="1:11" ht="42" customHeight="1">
      <c r="A3657" s="2" t="s">
        <v>8731</v>
      </c>
      <c r="B3657" s="2" t="s">
        <v>8732</v>
      </c>
      <c r="C3657" s="2" t="s">
        <v>43</v>
      </c>
      <c r="D3657" s="2" t="s">
        <v>44</v>
      </c>
      <c r="E3657" s="5">
        <v>-30265</v>
      </c>
      <c r="F3657" s="3" t="s">
        <v>107</v>
      </c>
      <c r="G3657" s="3" t="s">
        <v>997</v>
      </c>
      <c r="H3657" s="2" t="s">
        <v>21</v>
      </c>
      <c r="I3657" s="2" t="s">
        <v>8733</v>
      </c>
      <c r="J3657" s="3" t="str">
        <f>HYPERLINK("https://www.boe.es/gazeta/dias/1817/02/18/pdfs/GMD-1817-21.pdf#page=5","Abrir facsímil")</f>
        <v>Abrir facsímil</v>
      </c>
      <c r="K3657" s="3" t="s">
        <v>23</v>
      </c>
    </row>
    <row r="3658" spans="1:11" ht="42" customHeight="1">
      <c r="A3658" s="2" t="s">
        <v>8734</v>
      </c>
      <c r="B3658" s="2" t="s">
        <v>8734</v>
      </c>
      <c r="C3658" s="2" t="s">
        <v>36</v>
      </c>
      <c r="D3658" s="2" t="s">
        <v>37</v>
      </c>
      <c r="E3658" s="5">
        <v>-29967</v>
      </c>
      <c r="F3658" s="3" t="s">
        <v>183</v>
      </c>
      <c r="G3658" s="3" t="s">
        <v>7850</v>
      </c>
      <c r="H3658" s="2" t="s">
        <v>21</v>
      </c>
      <c r="I3658" s="2" t="s">
        <v>8735</v>
      </c>
      <c r="J3658" s="3" t="str">
        <f>HYPERLINK("https://www.boe.es/gazeta/dias/1817/12/13/pdfs/GMD-1817-149.pdf#page=5","Abrir facsímil")</f>
        <v>Abrir facsímil</v>
      </c>
      <c r="K3658" s="3" t="s">
        <v>23</v>
      </c>
    </row>
    <row r="3659" spans="1:11" ht="42" customHeight="1">
      <c r="A3659" s="2" t="s">
        <v>8734</v>
      </c>
      <c r="B3659" s="2" t="s">
        <v>8734</v>
      </c>
      <c r="C3659" s="2" t="s">
        <v>36</v>
      </c>
      <c r="D3659" s="2" t="s">
        <v>37</v>
      </c>
      <c r="E3659" s="5">
        <v>-29967</v>
      </c>
      <c r="F3659" s="3" t="s">
        <v>183</v>
      </c>
      <c r="G3659" s="3" t="s">
        <v>57</v>
      </c>
      <c r="H3659" s="2" t="s">
        <v>21</v>
      </c>
      <c r="I3659" s="2" t="s">
        <v>8736</v>
      </c>
      <c r="J3659" s="3" t="str">
        <f>HYPERLINK("https://www.boe.es/gazeta/dias/1817/12/13/pdfs/GMD-1817-149.pdf#page=6","Abrir facsímil")</f>
        <v>Abrir facsímil</v>
      </c>
      <c r="K3659" s="3" t="s">
        <v>23</v>
      </c>
    </row>
    <row r="3660" spans="1:11" ht="42" customHeight="1">
      <c r="A3660" s="2" t="s">
        <v>8737</v>
      </c>
      <c r="B3660" s="2" t="s">
        <v>8738</v>
      </c>
      <c r="C3660" s="2" t="s">
        <v>36</v>
      </c>
      <c r="D3660" s="2" t="s">
        <v>37</v>
      </c>
      <c r="E3660" s="5">
        <v>-30097</v>
      </c>
      <c r="F3660" s="3" t="s">
        <v>156</v>
      </c>
      <c r="G3660" s="3" t="s">
        <v>161</v>
      </c>
      <c r="H3660" s="2" t="s">
        <v>21</v>
      </c>
      <c r="I3660" s="2" t="s">
        <v>8739</v>
      </c>
      <c r="J3660" s="3" t="str">
        <f>HYPERLINK("https://www.boe.es/gazeta/dias/1817/08/05/pdfs/GMD-1817-93.pdf#page=4","Abrir facsímil")</f>
        <v>Abrir facsímil</v>
      </c>
      <c r="K3660" s="3" t="s">
        <v>23</v>
      </c>
    </row>
    <row r="3661" spans="1:11" ht="42" customHeight="1">
      <c r="A3661" s="2" t="s">
        <v>8740</v>
      </c>
      <c r="B3661" s="2" t="s">
        <v>8741</v>
      </c>
      <c r="C3661" s="2" t="s">
        <v>43</v>
      </c>
      <c r="D3661" s="2" t="s">
        <v>44</v>
      </c>
      <c r="E3661" s="5">
        <v>-29985</v>
      </c>
      <c r="F3661" s="3" t="s">
        <v>76</v>
      </c>
      <c r="G3661" s="3" t="s">
        <v>112</v>
      </c>
      <c r="H3661" s="2" t="s">
        <v>21</v>
      </c>
      <c r="I3661" s="2" t="s">
        <v>8742</v>
      </c>
      <c r="J3661" s="3" t="str">
        <f>HYPERLINK("https://www.boe.es/gazeta/dias/1817/11/25/pdfs/GMD-1817-141.pdf#page=11","Abrir facsímil")</f>
        <v>Abrir facsímil</v>
      </c>
      <c r="K3661" s="3" t="s">
        <v>23</v>
      </c>
    </row>
    <row r="3662" spans="1:11" ht="42" customHeight="1">
      <c r="A3662" s="2" t="s">
        <v>8743</v>
      </c>
      <c r="B3662" s="2" t="s">
        <v>8743</v>
      </c>
      <c r="C3662" s="2" t="s">
        <v>510</v>
      </c>
      <c r="D3662" s="2" t="s">
        <v>44</v>
      </c>
      <c r="E3662" s="5">
        <v>-30158</v>
      </c>
      <c r="F3662" s="3" t="s">
        <v>305</v>
      </c>
      <c r="G3662" s="3" t="s">
        <v>629</v>
      </c>
      <c r="H3662" s="2" t="s">
        <v>21</v>
      </c>
      <c r="I3662" s="2" t="s">
        <v>8744</v>
      </c>
      <c r="J3662" s="3" t="str">
        <f>HYPERLINK("https://www.boe.es/gazeta/dias/1817/06/05/pdfs/GMD-1817-67.pdf#page=2","Abrir facsímil")</f>
        <v>Abrir facsímil</v>
      </c>
      <c r="K3662" s="3" t="s">
        <v>23</v>
      </c>
    </row>
    <row r="3663" spans="1:11" ht="42" customHeight="1">
      <c r="A3663" s="2" t="s">
        <v>8745</v>
      </c>
      <c r="B3663" s="2" t="s">
        <v>8746</v>
      </c>
      <c r="C3663" s="2" t="s">
        <v>36</v>
      </c>
      <c r="D3663" s="2" t="s">
        <v>37</v>
      </c>
      <c r="E3663" s="5">
        <v>-30109</v>
      </c>
      <c r="F3663" s="3" t="s">
        <v>205</v>
      </c>
      <c r="G3663" s="3" t="s">
        <v>1464</v>
      </c>
      <c r="H3663" s="2" t="s">
        <v>21</v>
      </c>
      <c r="I3663" s="2" t="s">
        <v>8747</v>
      </c>
      <c r="J3663" s="3" t="str">
        <f>HYPERLINK("https://www.boe.es/gazeta/dias/1817/07/24/pdfs/GMD-1817-88.pdf#page=13","Abrir facsímil")</f>
        <v>Abrir facsímil</v>
      </c>
      <c r="K3663" s="3" t="s">
        <v>23</v>
      </c>
    </row>
    <row r="3664" spans="1:11" ht="42" customHeight="1">
      <c r="A3664" s="2" t="s">
        <v>8745</v>
      </c>
      <c r="B3664" s="2" t="s">
        <v>8746</v>
      </c>
      <c r="C3664" s="2" t="s">
        <v>55</v>
      </c>
      <c r="D3664" s="2" t="s">
        <v>44</v>
      </c>
      <c r="E3664" s="5">
        <v>-30083</v>
      </c>
      <c r="F3664" s="3" t="s">
        <v>1273</v>
      </c>
      <c r="G3664" s="3" t="s">
        <v>77</v>
      </c>
      <c r="H3664" s="2" t="s">
        <v>21</v>
      </c>
      <c r="I3664" s="2" t="s">
        <v>8748</v>
      </c>
      <c r="J3664" s="3" t="str">
        <f>HYPERLINK("https://www.boe.es/gazeta/dias/1817/08/19/pdfs/GMD-1817-99.pdf#page=8","Abrir facsímil")</f>
        <v>Abrir facsímil</v>
      </c>
      <c r="K3664" s="3" t="s">
        <v>23</v>
      </c>
    </row>
    <row r="3665" spans="1:11" ht="42" customHeight="1">
      <c r="A3665" s="2" t="s">
        <v>8749</v>
      </c>
      <c r="B3665" s="2" t="s">
        <v>8750</v>
      </c>
      <c r="C3665" s="2" t="s">
        <v>17</v>
      </c>
      <c r="D3665" s="2" t="s">
        <v>18</v>
      </c>
      <c r="E3665" s="5">
        <v>-30300</v>
      </c>
      <c r="F3665" s="3" t="s">
        <v>164</v>
      </c>
      <c r="G3665" s="3" t="s">
        <v>409</v>
      </c>
      <c r="H3665" s="2" t="s">
        <v>21</v>
      </c>
      <c r="I3665" s="2" t="s">
        <v>8751</v>
      </c>
      <c r="J3665" s="3" t="str">
        <f>HYPERLINK("https://www.boe.es/gazeta/dias/1817/01/14/pdfs/GMD-1817-6.pdf#page=8","Abrir facsímil")</f>
        <v>Abrir facsímil</v>
      </c>
      <c r="K3665" s="3" t="s">
        <v>23</v>
      </c>
    </row>
    <row r="3666" spans="1:11" ht="42" customHeight="1">
      <c r="A3666" s="2" t="s">
        <v>8752</v>
      </c>
      <c r="B3666" s="2" t="s">
        <v>8753</v>
      </c>
      <c r="C3666" s="2" t="s">
        <v>17</v>
      </c>
      <c r="D3666" s="2" t="s">
        <v>18</v>
      </c>
      <c r="E3666" s="5">
        <v>-30228</v>
      </c>
      <c r="F3666" s="3" t="s">
        <v>383</v>
      </c>
      <c r="G3666" s="3" t="s">
        <v>77</v>
      </c>
      <c r="H3666" s="2" t="s">
        <v>21</v>
      </c>
      <c r="I3666" s="2" t="s">
        <v>8754</v>
      </c>
      <c r="J3666" s="3" t="str">
        <f>HYPERLINK("https://www.boe.es/gazeta/dias/1817/03/27/pdfs/GMD-1817-37.pdf#page=8","Abrir facsímil")</f>
        <v>Abrir facsímil</v>
      </c>
      <c r="K3666" s="3" t="s">
        <v>23</v>
      </c>
    </row>
    <row r="3667" spans="1:11" ht="42" customHeight="1">
      <c r="A3667" s="2" t="s">
        <v>8755</v>
      </c>
      <c r="B3667" s="2" t="s">
        <v>8756</v>
      </c>
      <c r="C3667" s="2" t="s">
        <v>43</v>
      </c>
      <c r="D3667" s="2" t="s">
        <v>44</v>
      </c>
      <c r="E3667" s="5">
        <v>-30153</v>
      </c>
      <c r="F3667" s="3" t="s">
        <v>843</v>
      </c>
      <c r="G3667" s="3" t="s">
        <v>39</v>
      </c>
      <c r="H3667" s="2" t="s">
        <v>21</v>
      </c>
      <c r="I3667" s="2" t="s">
        <v>8757</v>
      </c>
      <c r="J3667" s="3" t="str">
        <f>HYPERLINK("https://www.boe.es/gazeta/dias/1817/06/10/pdfs/GMD-1817-69.pdf#page=5","Abrir facsímil")</f>
        <v>Abrir facsímil</v>
      </c>
      <c r="K3667" s="3" t="s">
        <v>23</v>
      </c>
    </row>
    <row r="3668" spans="1:11" ht="42" customHeight="1">
      <c r="A3668" s="2" t="s">
        <v>8758</v>
      </c>
      <c r="B3668" s="2" t="s">
        <v>8759</v>
      </c>
      <c r="C3668" s="2" t="s">
        <v>36</v>
      </c>
      <c r="D3668" s="2" t="s">
        <v>37</v>
      </c>
      <c r="E3668" s="5">
        <v>-29967</v>
      </c>
      <c r="F3668" s="3" t="s">
        <v>183</v>
      </c>
      <c r="G3668" s="3" t="s">
        <v>7850</v>
      </c>
      <c r="H3668" s="2" t="s">
        <v>21</v>
      </c>
      <c r="I3668" s="2" t="s">
        <v>8760</v>
      </c>
      <c r="J3668" s="3" t="str">
        <f>HYPERLINK("https://www.boe.es/gazeta/dias/1817/12/13/pdfs/GMD-1817-149.pdf#page=5","Abrir facsímil")</f>
        <v>Abrir facsímil</v>
      </c>
      <c r="K3668" s="3" t="s">
        <v>23</v>
      </c>
    </row>
    <row r="3669" spans="1:11" ht="42" customHeight="1">
      <c r="A3669" s="2" t="s">
        <v>8761</v>
      </c>
      <c r="B3669" s="2" t="s">
        <v>8762</v>
      </c>
      <c r="C3669" s="2" t="s">
        <v>55</v>
      </c>
      <c r="D3669" s="2" t="s">
        <v>44</v>
      </c>
      <c r="E3669" s="5">
        <v>-30167</v>
      </c>
      <c r="F3669" s="3" t="s">
        <v>153</v>
      </c>
      <c r="G3669" s="3" t="s">
        <v>1505</v>
      </c>
      <c r="H3669" s="2" t="s">
        <v>21</v>
      </c>
      <c r="I3669" s="2" t="s">
        <v>8763</v>
      </c>
      <c r="J3669" s="3" t="str">
        <f>HYPERLINK("https://www.boe.es/gazeta/dias/1817/05/27/pdfs/GMD-1817-63.pdf#page=5","Abrir facsímil")</f>
        <v>Abrir facsímil</v>
      </c>
      <c r="K3669" s="3" t="s">
        <v>23</v>
      </c>
    </row>
    <row r="3670" spans="1:11" ht="42" customHeight="1">
      <c r="A3670" s="2" t="s">
        <v>8764</v>
      </c>
      <c r="B3670" s="2" t="s">
        <v>8765</v>
      </c>
      <c r="C3670" s="2" t="s">
        <v>55</v>
      </c>
      <c r="D3670" s="2" t="s">
        <v>44</v>
      </c>
      <c r="E3670" s="5">
        <v>-30167</v>
      </c>
      <c r="F3670" s="3" t="s">
        <v>153</v>
      </c>
      <c r="G3670" s="3" t="s">
        <v>1505</v>
      </c>
      <c r="H3670" s="2" t="s">
        <v>21</v>
      </c>
      <c r="I3670" s="2" t="s">
        <v>8766</v>
      </c>
      <c r="J3670" s="3" t="str">
        <f>HYPERLINK("https://www.boe.es/gazeta/dias/1817/05/27/pdfs/GMD-1817-63.pdf#page=5","Abrir facsímil")</f>
        <v>Abrir facsímil</v>
      </c>
      <c r="K3670" s="3" t="s">
        <v>23</v>
      </c>
    </row>
    <row r="3671" spans="1:11" ht="42" customHeight="1">
      <c r="A3671" s="2" t="s">
        <v>8767</v>
      </c>
      <c r="B3671" s="2" t="s">
        <v>8768</v>
      </c>
      <c r="C3671" s="2" t="s">
        <v>36</v>
      </c>
      <c r="D3671" s="2" t="s">
        <v>37</v>
      </c>
      <c r="E3671" s="5">
        <v>-29983</v>
      </c>
      <c r="F3671" s="3" t="s">
        <v>148</v>
      </c>
      <c r="G3671" s="3" t="s">
        <v>551</v>
      </c>
      <c r="H3671" s="2" t="s">
        <v>21</v>
      </c>
      <c r="I3671" s="2" t="s">
        <v>8769</v>
      </c>
      <c r="J3671" s="3" t="str">
        <f>HYPERLINK("https://www.boe.es/gazeta/dias/1817/11/27/pdfs/GMD-1817-142.pdf#page=3","Abrir facsímil")</f>
        <v>Abrir facsímil</v>
      </c>
      <c r="K3671" s="3" t="s">
        <v>23</v>
      </c>
    </row>
    <row r="3672" spans="1:11" ht="42" customHeight="1">
      <c r="A3672" s="2" t="s">
        <v>8770</v>
      </c>
      <c r="B3672" s="2" t="s">
        <v>8770</v>
      </c>
      <c r="C3672" s="2" t="s">
        <v>36</v>
      </c>
      <c r="D3672" s="2" t="s">
        <v>37</v>
      </c>
      <c r="E3672" s="5">
        <v>-30205</v>
      </c>
      <c r="F3672" s="3" t="s">
        <v>139</v>
      </c>
      <c r="G3672" s="3" t="s">
        <v>72</v>
      </c>
      <c r="H3672" s="2" t="s">
        <v>21</v>
      </c>
      <c r="I3672" s="2" t="s">
        <v>8771</v>
      </c>
      <c r="J3672" s="3" t="str">
        <f>HYPERLINK("https://www.boe.es/gazeta/dias/1817/04/19/pdfs/GMD-1817-47.pdf#page=1","Abrir facsímil")</f>
        <v>Abrir facsímil</v>
      </c>
      <c r="K3672" s="3" t="s">
        <v>23</v>
      </c>
    </row>
    <row r="3673" spans="1:11" ht="42" customHeight="1">
      <c r="A3673" s="2" t="s">
        <v>8772</v>
      </c>
      <c r="B3673" s="2" t="s">
        <v>8773</v>
      </c>
      <c r="C3673" s="2" t="s">
        <v>55</v>
      </c>
      <c r="D3673" s="2" t="s">
        <v>44</v>
      </c>
      <c r="E3673" s="5">
        <v>-30058</v>
      </c>
      <c r="F3673" s="3" t="s">
        <v>1385</v>
      </c>
      <c r="G3673" s="3" t="s">
        <v>82</v>
      </c>
      <c r="H3673" s="2" t="s">
        <v>21</v>
      </c>
      <c r="I3673" s="2" t="s">
        <v>8774</v>
      </c>
      <c r="J3673" s="3" t="str">
        <f>HYPERLINK("https://www.boe.es/gazeta/dias/1817/09/13/pdfs/GMD-1817-110.pdf#page=12","Abrir facsímil")</f>
        <v>Abrir facsímil</v>
      </c>
      <c r="K3673" s="3" t="s">
        <v>23</v>
      </c>
    </row>
    <row r="3674" spans="1:11" ht="42" customHeight="1">
      <c r="A3674" s="2" t="s">
        <v>8775</v>
      </c>
      <c r="B3674" s="2" t="s">
        <v>8776</v>
      </c>
      <c r="C3674" s="2" t="s">
        <v>17</v>
      </c>
      <c r="D3674" s="2" t="s">
        <v>18</v>
      </c>
      <c r="E3674" s="5">
        <v>-30151</v>
      </c>
      <c r="F3674" s="3" t="s">
        <v>1422</v>
      </c>
      <c r="G3674" s="3" t="s">
        <v>4144</v>
      </c>
      <c r="H3674" s="2" t="s">
        <v>21</v>
      </c>
      <c r="I3674" s="2" t="s">
        <v>8777</v>
      </c>
      <c r="J3674" s="3" t="str">
        <f>HYPERLINK("https://www.boe.es/gazeta/dias/1817/06/12/pdfs/GMD-1817-70.pdf#page=4","Abrir facsímil")</f>
        <v>Abrir facsímil</v>
      </c>
      <c r="K3674" s="3" t="s">
        <v>23</v>
      </c>
    </row>
    <row r="3675" spans="1:11" ht="42" customHeight="1">
      <c r="A3675" s="2" t="s">
        <v>8778</v>
      </c>
      <c r="B3675" s="2" t="s">
        <v>8779</v>
      </c>
      <c r="C3675" s="2" t="s">
        <v>36</v>
      </c>
      <c r="D3675" s="2" t="s">
        <v>37</v>
      </c>
      <c r="E3675" s="5">
        <v>-30207</v>
      </c>
      <c r="F3675" s="3" t="s">
        <v>1139</v>
      </c>
      <c r="G3675" s="3" t="s">
        <v>39</v>
      </c>
      <c r="H3675" s="2" t="s">
        <v>21</v>
      </c>
      <c r="I3675" s="2" t="s">
        <v>8780</v>
      </c>
      <c r="J3675" s="3" t="str">
        <f>HYPERLINK("https://www.boe.es/gazeta/dias/1817/04/17/pdfs/GMD-1817-46.pdf#page=5","Abrir facsímil")</f>
        <v>Abrir facsímil</v>
      </c>
      <c r="K3675" s="3" t="s">
        <v>23</v>
      </c>
    </row>
    <row r="3676" spans="1:11" ht="42" customHeight="1">
      <c r="A3676" s="2" t="s">
        <v>8781</v>
      </c>
      <c r="B3676" s="2" t="s">
        <v>8782</v>
      </c>
      <c r="C3676" s="2" t="s">
        <v>43</v>
      </c>
      <c r="D3676" s="2" t="s">
        <v>44</v>
      </c>
      <c r="E3676" s="5">
        <v>-30228</v>
      </c>
      <c r="F3676" s="3" t="s">
        <v>383</v>
      </c>
      <c r="G3676" s="3" t="s">
        <v>57</v>
      </c>
      <c r="H3676" s="2" t="s">
        <v>21</v>
      </c>
      <c r="I3676" s="2" t="s">
        <v>8783</v>
      </c>
      <c r="J3676" s="3" t="str">
        <f>HYPERLINK("https://www.boe.es/gazeta/dias/1817/03/27/pdfs/GMD-1817-37.pdf#page=6","Abrir facsímil")</f>
        <v>Abrir facsímil</v>
      </c>
      <c r="K3676" s="3" t="s">
        <v>23</v>
      </c>
    </row>
    <row r="3677" spans="1:11" ht="42" customHeight="1">
      <c r="A3677" s="2" t="s">
        <v>8784</v>
      </c>
      <c r="B3677" s="2" t="s">
        <v>8785</v>
      </c>
      <c r="C3677" s="2" t="s">
        <v>36</v>
      </c>
      <c r="D3677" s="2" t="s">
        <v>37</v>
      </c>
      <c r="E3677" s="5">
        <v>-30177</v>
      </c>
      <c r="F3677" s="3" t="s">
        <v>633</v>
      </c>
      <c r="G3677" s="3" t="s">
        <v>77</v>
      </c>
      <c r="H3677" s="2" t="s">
        <v>21</v>
      </c>
      <c r="I3677" s="2" t="s">
        <v>8786</v>
      </c>
      <c r="J3677" s="3" t="str">
        <f>HYPERLINK("https://www.boe.es/gazeta/dias/1817/05/17/pdfs/GMD-1817-59.pdf#page=8","Abrir facsímil")</f>
        <v>Abrir facsímil</v>
      </c>
      <c r="K3677" s="3" t="s">
        <v>23</v>
      </c>
    </row>
    <row r="3678" spans="1:11" ht="42" customHeight="1">
      <c r="A3678" s="2" t="s">
        <v>8787</v>
      </c>
      <c r="B3678" s="2" t="s">
        <v>8788</v>
      </c>
      <c r="C3678" s="2" t="s">
        <v>49</v>
      </c>
      <c r="D3678" s="2" t="s">
        <v>44</v>
      </c>
      <c r="E3678" s="5">
        <v>-30142</v>
      </c>
      <c r="F3678" s="3" t="s">
        <v>286</v>
      </c>
      <c r="G3678" s="3" t="s">
        <v>144</v>
      </c>
      <c r="H3678" s="2" t="s">
        <v>21</v>
      </c>
      <c r="I3678" s="2" t="s">
        <v>8789</v>
      </c>
      <c r="J3678" s="3" t="str">
        <f>HYPERLINK("https://www.boe.es/gazeta/dias/1817/06/21/pdfs/GMD-1817-74.pdf#page=4","Abrir facsímil")</f>
        <v>Abrir facsímil</v>
      </c>
      <c r="K3678" s="3" t="s">
        <v>23</v>
      </c>
    </row>
    <row r="3679" spans="1:11" ht="42" customHeight="1">
      <c r="A3679" s="2" t="s">
        <v>8790</v>
      </c>
      <c r="B3679" s="2" t="s">
        <v>8791</v>
      </c>
      <c r="C3679" s="2" t="s">
        <v>17</v>
      </c>
      <c r="D3679" s="2" t="s">
        <v>18</v>
      </c>
      <c r="E3679" s="5">
        <v>-30060</v>
      </c>
      <c r="F3679" s="3" t="s">
        <v>446</v>
      </c>
      <c r="G3679" s="3" t="s">
        <v>77</v>
      </c>
      <c r="H3679" s="2" t="s">
        <v>27</v>
      </c>
      <c r="I3679" s="2" t="s">
        <v>8792</v>
      </c>
      <c r="J3679" s="3" t="str">
        <f>HYPERLINK("https://www.boe.es/gazeta/dias/1817/09/11/pdfs/GMD-1817-109.pdf#page=8","Abrir facsímil")</f>
        <v>Abrir facsímil</v>
      </c>
      <c r="K3679" s="3" t="s">
        <v>29</v>
      </c>
    </row>
    <row r="3680" spans="1:11" ht="42" customHeight="1">
      <c r="A3680" s="2" t="s">
        <v>8793</v>
      </c>
      <c r="B3680" s="2" t="s">
        <v>8794</v>
      </c>
      <c r="C3680" s="2" t="s">
        <v>55</v>
      </c>
      <c r="D3680" s="2" t="s">
        <v>44</v>
      </c>
      <c r="E3680" s="5">
        <v>-30165</v>
      </c>
      <c r="F3680" s="3" t="s">
        <v>2040</v>
      </c>
      <c r="G3680" s="3" t="s">
        <v>77</v>
      </c>
      <c r="H3680" s="2" t="s">
        <v>21</v>
      </c>
      <c r="I3680" s="2" t="s">
        <v>8795</v>
      </c>
      <c r="J3680" s="3" t="str">
        <f>HYPERLINK("https://www.boe.es/gazeta/dias/1817/05/29/pdfs/GMD-1817-64.pdf#page=8","Abrir facsímil")</f>
        <v>Abrir facsímil</v>
      </c>
      <c r="K3680" s="3" t="s">
        <v>23</v>
      </c>
    </row>
    <row r="3681" spans="1:11" ht="42" customHeight="1">
      <c r="A3681" s="2" t="s">
        <v>8796</v>
      </c>
      <c r="B3681" s="2" t="s">
        <v>8797</v>
      </c>
      <c r="C3681" s="2" t="s">
        <v>17</v>
      </c>
      <c r="D3681" s="2" t="s">
        <v>18</v>
      </c>
      <c r="E3681" s="5">
        <v>-30069</v>
      </c>
      <c r="F3681" s="3" t="s">
        <v>817</v>
      </c>
      <c r="G3681" s="3" t="s">
        <v>144</v>
      </c>
      <c r="H3681" s="2" t="s">
        <v>21</v>
      </c>
      <c r="I3681" s="2" t="s">
        <v>8798</v>
      </c>
      <c r="J3681" s="3" t="str">
        <f>HYPERLINK("https://www.boe.es/gazeta/dias/1817/09/02/pdfs/GMD-1817-105.pdf#page=4","Abrir facsímil")</f>
        <v>Abrir facsímil</v>
      </c>
      <c r="K3681" s="3" t="s">
        <v>23</v>
      </c>
    </row>
    <row r="3682" spans="1:11" ht="42" customHeight="1">
      <c r="A3682" s="2" t="s">
        <v>8799</v>
      </c>
      <c r="B3682" s="2" t="s">
        <v>8800</v>
      </c>
      <c r="C3682" s="2" t="s">
        <v>55</v>
      </c>
      <c r="D3682" s="2" t="s">
        <v>44</v>
      </c>
      <c r="E3682" s="5">
        <v>-30310</v>
      </c>
      <c r="F3682" s="3" t="s">
        <v>93</v>
      </c>
      <c r="G3682" s="3" t="s">
        <v>57</v>
      </c>
      <c r="H3682" s="2" t="s">
        <v>21</v>
      </c>
      <c r="I3682" s="2" t="s">
        <v>8801</v>
      </c>
      <c r="J3682" s="3" t="str">
        <f>HYPERLINK("https://www.boe.es/gazeta/dias/1817/01/04/pdfs/GMD-1817-2.pdf#page=6","Abrir facsímil")</f>
        <v>Abrir facsímil</v>
      </c>
      <c r="K3682" s="3" t="s">
        <v>23</v>
      </c>
    </row>
    <row r="3683" spans="1:11" ht="42" customHeight="1">
      <c r="A3683" s="2" t="s">
        <v>8802</v>
      </c>
      <c r="B3683" s="2" t="s">
        <v>8803</v>
      </c>
      <c r="C3683" s="2" t="s">
        <v>36</v>
      </c>
      <c r="D3683" s="2" t="s">
        <v>37</v>
      </c>
      <c r="E3683" s="5">
        <v>-30198</v>
      </c>
      <c r="F3683" s="3" t="s">
        <v>2185</v>
      </c>
      <c r="G3683" s="3" t="s">
        <v>2429</v>
      </c>
      <c r="H3683" s="2" t="s">
        <v>21</v>
      </c>
      <c r="I3683" s="2" t="s">
        <v>8804</v>
      </c>
      <c r="J3683" s="3" t="str">
        <f>HYPERLINK("https://www.boe.es/gazeta/dias/1817/04/26/pdfs/GMD-1817-50.pdf#page=7","Abrir facsímil")</f>
        <v>Abrir facsímil</v>
      </c>
      <c r="K3683" s="3" t="s">
        <v>23</v>
      </c>
    </row>
    <row r="3684" spans="1:11" ht="42" customHeight="1">
      <c r="A3684" s="2" t="s">
        <v>8805</v>
      </c>
      <c r="B3684" s="2" t="s">
        <v>8805</v>
      </c>
      <c r="C3684" s="2" t="s">
        <v>36</v>
      </c>
      <c r="D3684" s="2" t="s">
        <v>37</v>
      </c>
      <c r="E3684" s="5">
        <v>-30128</v>
      </c>
      <c r="F3684" s="3" t="s">
        <v>761</v>
      </c>
      <c r="G3684" s="3" t="s">
        <v>629</v>
      </c>
      <c r="H3684" s="2" t="s">
        <v>21</v>
      </c>
      <c r="I3684" s="2" t="s">
        <v>8806</v>
      </c>
      <c r="J3684" s="3" t="str">
        <f>HYPERLINK("https://www.boe.es/gazeta/dias/1817/07/05/pdfs/GMD-1817-80.pdf#page=2","Abrir facsímil")</f>
        <v>Abrir facsímil</v>
      </c>
      <c r="K3684" s="3" t="s">
        <v>23</v>
      </c>
    </row>
    <row r="3685" spans="1:11" ht="42" customHeight="1">
      <c r="A3685" s="2" t="s">
        <v>8807</v>
      </c>
      <c r="B3685" s="2" t="s">
        <v>8808</v>
      </c>
      <c r="C3685" s="2" t="s">
        <v>17</v>
      </c>
      <c r="D3685" s="2" t="s">
        <v>18</v>
      </c>
      <c r="E3685" s="5">
        <v>-30233</v>
      </c>
      <c r="F3685" s="3" t="s">
        <v>577</v>
      </c>
      <c r="G3685" s="3" t="s">
        <v>578</v>
      </c>
      <c r="H3685" s="2" t="s">
        <v>21</v>
      </c>
      <c r="I3685" s="2" t="s">
        <v>8809</v>
      </c>
      <c r="J3685" s="3" t="str">
        <f>HYPERLINK("https://www.boe.es/gazeta/dias/1817/03/22/pdfs/GMD-1817-35.pdf#page=8","Abrir facsímil")</f>
        <v>Abrir facsímil</v>
      </c>
      <c r="K3685" s="3" t="s">
        <v>23</v>
      </c>
    </row>
    <row r="3686" spans="1:11" ht="42" customHeight="1">
      <c r="A3686" s="2" t="s">
        <v>8810</v>
      </c>
      <c r="B3686" s="2" t="s">
        <v>8811</v>
      </c>
      <c r="C3686" s="2" t="s">
        <v>43</v>
      </c>
      <c r="D3686" s="2" t="s">
        <v>44</v>
      </c>
      <c r="E3686" s="5">
        <v>-30282</v>
      </c>
      <c r="F3686" s="3" t="s">
        <v>1049</v>
      </c>
      <c r="G3686" s="3" t="s">
        <v>39</v>
      </c>
      <c r="H3686" s="2" t="s">
        <v>27</v>
      </c>
      <c r="I3686" s="2" t="s">
        <v>8812</v>
      </c>
      <c r="J3686" s="3" t="str">
        <f>HYPERLINK("https://www.boe.es/gazeta/dias/1817/02/01/pdfs/GMD-1817-14.pdf#page=5","Abrir facsímil")</f>
        <v>Abrir facsímil</v>
      </c>
      <c r="K3686" s="3" t="s">
        <v>29</v>
      </c>
    </row>
    <row r="3687" spans="1:11" ht="42" customHeight="1">
      <c r="A3687" s="2" t="s">
        <v>8813</v>
      </c>
      <c r="B3687" s="2" t="s">
        <v>8813</v>
      </c>
      <c r="C3687" s="2" t="s">
        <v>36</v>
      </c>
      <c r="D3687" s="2" t="s">
        <v>37</v>
      </c>
      <c r="E3687" s="5">
        <v>-30100</v>
      </c>
      <c r="F3687" s="3" t="s">
        <v>436</v>
      </c>
      <c r="G3687" s="3" t="s">
        <v>20</v>
      </c>
      <c r="H3687" s="2" t="s">
        <v>21</v>
      </c>
      <c r="I3687" s="2" t="s">
        <v>8814</v>
      </c>
      <c r="J3687" s="3" t="str">
        <f>HYPERLINK("https://www.boe.es/gazeta/dias/1817/08/02/pdfs/GMD-1817-92.pdf#page=7","Abrir facsímil")</f>
        <v>Abrir facsímil</v>
      </c>
      <c r="K3687" s="3" t="s">
        <v>23</v>
      </c>
    </row>
    <row r="3688" spans="1:11" ht="42" customHeight="1">
      <c r="A3688" s="2" t="s">
        <v>8815</v>
      </c>
      <c r="B3688" s="2" t="s">
        <v>8816</v>
      </c>
      <c r="C3688" s="2" t="s">
        <v>43</v>
      </c>
      <c r="D3688" s="2" t="s">
        <v>44</v>
      </c>
      <c r="E3688" s="5">
        <v>-30053</v>
      </c>
      <c r="F3688" s="3" t="s">
        <v>129</v>
      </c>
      <c r="G3688" s="3" t="s">
        <v>3667</v>
      </c>
      <c r="H3688" s="2" t="s">
        <v>21</v>
      </c>
      <c r="I3688" s="2" t="s">
        <v>8817</v>
      </c>
      <c r="J3688" s="3" t="str">
        <f>HYPERLINK("https://www.boe.es/gazeta/dias/1817/09/18/pdfs/GMD-1817-112.pdf#page=6","Abrir facsímil")</f>
        <v>Abrir facsímil</v>
      </c>
      <c r="K3688" s="3" t="s">
        <v>23</v>
      </c>
    </row>
    <row r="3689" spans="1:11" ht="42" customHeight="1">
      <c r="A3689" s="2" t="s">
        <v>8818</v>
      </c>
      <c r="B3689" s="2" t="s">
        <v>8819</v>
      </c>
      <c r="C3689" s="2" t="s">
        <v>43</v>
      </c>
      <c r="D3689" s="2" t="s">
        <v>44</v>
      </c>
      <c r="E3689" s="5">
        <v>-30277</v>
      </c>
      <c r="F3689" s="3" t="s">
        <v>3822</v>
      </c>
      <c r="G3689" s="3" t="s">
        <v>39</v>
      </c>
      <c r="H3689" s="2" t="s">
        <v>21</v>
      </c>
      <c r="I3689" s="2" t="s">
        <v>8820</v>
      </c>
      <c r="J3689" s="3" t="str">
        <f>HYPERLINK("https://www.boe.es/gazeta/dias/1817/02/06/pdfs/GMD-1817-16.pdf#page=5","Abrir facsímil")</f>
        <v>Abrir facsímil</v>
      </c>
      <c r="K3689" s="3" t="s">
        <v>23</v>
      </c>
    </row>
    <row r="3690" spans="1:11" ht="42" customHeight="1">
      <c r="A3690" s="2" t="s">
        <v>8821</v>
      </c>
      <c r="B3690" s="2" t="s">
        <v>8822</v>
      </c>
      <c r="C3690" s="2" t="s">
        <v>55</v>
      </c>
      <c r="D3690" s="2" t="s">
        <v>44</v>
      </c>
      <c r="E3690" s="5">
        <v>-30018</v>
      </c>
      <c r="F3690" s="3" t="s">
        <v>757</v>
      </c>
      <c r="G3690" s="3" t="s">
        <v>77</v>
      </c>
      <c r="H3690" s="2" t="s">
        <v>21</v>
      </c>
      <c r="I3690" s="2" t="s">
        <v>8823</v>
      </c>
      <c r="J3690" s="3" t="str">
        <f>HYPERLINK("https://www.boe.es/gazeta/dias/1817/10/23/pdfs/GMD-1817-127.pdf#page=8","Abrir facsímil")</f>
        <v>Abrir facsímil</v>
      </c>
      <c r="K3690" s="3" t="s">
        <v>23</v>
      </c>
    </row>
    <row r="3691" spans="1:11" ht="42" customHeight="1">
      <c r="A3691" s="2" t="s">
        <v>8824</v>
      </c>
      <c r="B3691" s="2" t="s">
        <v>8825</v>
      </c>
      <c r="C3691" s="2" t="s">
        <v>17</v>
      </c>
      <c r="D3691" s="2" t="s">
        <v>18</v>
      </c>
      <c r="E3691" s="5">
        <v>-30303</v>
      </c>
      <c r="F3691" s="3" t="s">
        <v>407</v>
      </c>
      <c r="G3691" s="3" t="s">
        <v>77</v>
      </c>
      <c r="H3691" s="2" t="s">
        <v>21</v>
      </c>
      <c r="I3691" s="2" t="s">
        <v>8826</v>
      </c>
      <c r="J3691" s="3" t="str">
        <f>HYPERLINK("https://www.boe.es/gazeta/dias/1817/01/11/pdfs/GMD-1817-5.pdf#page=8","Abrir facsímil")</f>
        <v>Abrir facsímil</v>
      </c>
      <c r="K3691" s="3" t="s">
        <v>23</v>
      </c>
    </row>
    <row r="3692" spans="1:11" ht="42" customHeight="1">
      <c r="A3692" s="2" t="s">
        <v>8827</v>
      </c>
      <c r="B3692" s="2" t="s">
        <v>8828</v>
      </c>
      <c r="C3692" s="2" t="s">
        <v>138</v>
      </c>
      <c r="D3692" s="2" t="s">
        <v>44</v>
      </c>
      <c r="E3692" s="5">
        <v>-30303</v>
      </c>
      <c r="F3692" s="3" t="s">
        <v>407</v>
      </c>
      <c r="G3692" s="3" t="s">
        <v>77</v>
      </c>
      <c r="H3692" s="2" t="s">
        <v>21</v>
      </c>
      <c r="I3692" s="2" t="s">
        <v>8829</v>
      </c>
      <c r="J3692" s="3" t="str">
        <f>HYPERLINK("https://www.boe.es/gazeta/dias/1817/01/11/pdfs/GMD-1817-5.pdf#page=8","Abrir facsímil")</f>
        <v>Abrir facsímil</v>
      </c>
      <c r="K3692" s="3" t="s">
        <v>23</v>
      </c>
    </row>
    <row r="3693" spans="1:11" ht="42" customHeight="1">
      <c r="A3693" s="2" t="s">
        <v>8830</v>
      </c>
      <c r="B3693" s="2" t="s">
        <v>8831</v>
      </c>
      <c r="C3693" s="2" t="s">
        <v>17</v>
      </c>
      <c r="D3693" s="2" t="s">
        <v>18</v>
      </c>
      <c r="E3693" s="5">
        <v>-30093</v>
      </c>
      <c r="F3693" s="3" t="s">
        <v>230</v>
      </c>
      <c r="G3693" s="3" t="s">
        <v>77</v>
      </c>
      <c r="H3693" s="2" t="s">
        <v>27</v>
      </c>
      <c r="I3693" s="2" t="s">
        <v>8832</v>
      </c>
      <c r="J3693" s="3" t="str">
        <f>HYPERLINK("https://www.boe.es/gazeta/dias/1817/08/09/pdfs/GMD-1817-95.pdf#page=8","Abrir facsímil")</f>
        <v>Abrir facsímil</v>
      </c>
      <c r="K3693" s="3" t="s">
        <v>29</v>
      </c>
    </row>
    <row r="3694" spans="1:11" ht="42" customHeight="1">
      <c r="A3694" s="2" t="s">
        <v>8833</v>
      </c>
      <c r="B3694" s="2" t="s">
        <v>8834</v>
      </c>
      <c r="C3694" s="2" t="s">
        <v>36</v>
      </c>
      <c r="D3694" s="2" t="s">
        <v>37</v>
      </c>
      <c r="E3694" s="5">
        <v>-30137</v>
      </c>
      <c r="F3694" s="3" t="s">
        <v>935</v>
      </c>
      <c r="G3694" s="3" t="s">
        <v>20</v>
      </c>
      <c r="H3694" s="2" t="s">
        <v>21</v>
      </c>
      <c r="I3694" s="2" t="s">
        <v>8835</v>
      </c>
      <c r="J3694" s="3" t="str">
        <f>HYPERLINK("https://www.boe.es/gazeta/dias/1817/06/26/pdfs/GMD-1817-76.pdf#page=7","Abrir facsímil")</f>
        <v>Abrir facsímil</v>
      </c>
      <c r="K3694" s="3" t="s">
        <v>23</v>
      </c>
    </row>
    <row r="3695" spans="1:11" ht="42" customHeight="1">
      <c r="A3695" s="2" t="s">
        <v>8836</v>
      </c>
      <c r="B3695" s="2" t="s">
        <v>8837</v>
      </c>
      <c r="C3695" s="2" t="s">
        <v>36</v>
      </c>
      <c r="D3695" s="2" t="s">
        <v>37</v>
      </c>
      <c r="E3695" s="5">
        <v>-30009</v>
      </c>
      <c r="F3695" s="3" t="s">
        <v>512</v>
      </c>
      <c r="G3695" s="3" t="s">
        <v>72</v>
      </c>
      <c r="H3695" s="2" t="s">
        <v>21</v>
      </c>
      <c r="I3695" s="2" t="s">
        <v>8838</v>
      </c>
      <c r="J3695" s="3" t="str">
        <f>HYPERLINK("https://www.boe.es/gazeta/dias/1817/11/01/pdfs/GMD-1817-131.pdf#page=1","Abrir facsímil")</f>
        <v>Abrir facsímil</v>
      </c>
      <c r="K3695" s="3" t="s">
        <v>23</v>
      </c>
    </row>
    <row r="3696" spans="1:11" ht="42" customHeight="1">
      <c r="A3696" s="2" t="s">
        <v>8839</v>
      </c>
      <c r="B3696" s="2" t="s">
        <v>8840</v>
      </c>
      <c r="C3696" s="2" t="s">
        <v>36</v>
      </c>
      <c r="D3696" s="2" t="s">
        <v>37</v>
      </c>
      <c r="E3696" s="5">
        <v>-30221</v>
      </c>
      <c r="F3696" s="3" t="s">
        <v>256</v>
      </c>
      <c r="G3696" s="3" t="s">
        <v>72</v>
      </c>
      <c r="H3696" s="2" t="s">
        <v>21</v>
      </c>
      <c r="I3696" s="2" t="s">
        <v>8841</v>
      </c>
      <c r="J3696" s="3" t="str">
        <f>HYPERLINK("https://www.boe.es/gazeta/dias/1817/04/03/pdfs/GMD-1817-40.pdf#page=1","Abrir facsímil")</f>
        <v>Abrir facsímil</v>
      </c>
      <c r="K3696" s="3" t="s">
        <v>23</v>
      </c>
    </row>
    <row r="3697" spans="1:11" ht="42" customHeight="1">
      <c r="A3697" s="2" t="s">
        <v>8842</v>
      </c>
      <c r="B3697" s="2" t="s">
        <v>8843</v>
      </c>
      <c r="C3697" s="2" t="s">
        <v>36</v>
      </c>
      <c r="D3697" s="2" t="s">
        <v>37</v>
      </c>
      <c r="E3697" s="5">
        <v>-30137</v>
      </c>
      <c r="F3697" s="3" t="s">
        <v>935</v>
      </c>
      <c r="G3697" s="3" t="s">
        <v>72</v>
      </c>
      <c r="H3697" s="2" t="s">
        <v>21</v>
      </c>
      <c r="I3697" s="2" t="s">
        <v>8844</v>
      </c>
      <c r="J3697" s="3" t="str">
        <f>HYPERLINK("https://www.boe.es/gazeta/dias/1817/06/26/pdfs/GMD-1817-76.pdf#page=1","Abrir facsímil")</f>
        <v>Abrir facsímil</v>
      </c>
      <c r="K3697" s="3" t="s">
        <v>23</v>
      </c>
    </row>
    <row r="3698" spans="1:11" ht="42" customHeight="1">
      <c r="A3698" s="2" t="s">
        <v>8842</v>
      </c>
      <c r="B3698" s="2" t="s">
        <v>8843</v>
      </c>
      <c r="C3698" s="2" t="s">
        <v>36</v>
      </c>
      <c r="D3698" s="2" t="s">
        <v>37</v>
      </c>
      <c r="E3698" s="5">
        <v>-30044</v>
      </c>
      <c r="F3698" s="3" t="s">
        <v>450</v>
      </c>
      <c r="G3698" s="3" t="s">
        <v>72</v>
      </c>
      <c r="H3698" s="2" t="s">
        <v>21</v>
      </c>
      <c r="I3698" s="2" t="s">
        <v>8845</v>
      </c>
      <c r="J3698" s="3" t="str">
        <f>HYPERLINK("https://www.boe.es/gazeta/dias/1817/09/27/pdfs/GMD-1817-116.pdf#page=1","Abrir facsímil")</f>
        <v>Abrir facsímil</v>
      </c>
      <c r="K3698" s="3" t="s">
        <v>23</v>
      </c>
    </row>
    <row r="3699" spans="1:11" ht="42" customHeight="1">
      <c r="A3699" s="2" t="s">
        <v>8846</v>
      </c>
      <c r="B3699" s="2" t="s">
        <v>8846</v>
      </c>
      <c r="C3699" s="2" t="s">
        <v>36</v>
      </c>
      <c r="D3699" s="2" t="s">
        <v>37</v>
      </c>
      <c r="E3699" s="5">
        <v>-30058</v>
      </c>
      <c r="F3699" s="3" t="s">
        <v>1385</v>
      </c>
      <c r="G3699" s="3" t="s">
        <v>112</v>
      </c>
      <c r="H3699" s="2" t="s">
        <v>21</v>
      </c>
      <c r="I3699" s="2" t="s">
        <v>8847</v>
      </c>
      <c r="J3699" s="3" t="str">
        <f>HYPERLINK("https://www.boe.es/gazeta/dias/1817/09/13/pdfs/GMD-1817-110.pdf#page=11","Abrir facsímil")</f>
        <v>Abrir facsímil</v>
      </c>
      <c r="K3699" s="3" t="s">
        <v>23</v>
      </c>
    </row>
    <row r="3700" spans="1:11" ht="42" customHeight="1">
      <c r="A3700" s="2" t="s">
        <v>8848</v>
      </c>
      <c r="B3700" s="2" t="s">
        <v>8849</v>
      </c>
      <c r="C3700" s="2" t="s">
        <v>36</v>
      </c>
      <c r="D3700" s="2" t="s">
        <v>37</v>
      </c>
      <c r="E3700" s="5">
        <v>-30289</v>
      </c>
      <c r="F3700" s="3" t="s">
        <v>193</v>
      </c>
      <c r="G3700" s="3" t="s">
        <v>77</v>
      </c>
      <c r="H3700" s="2" t="s">
        <v>21</v>
      </c>
      <c r="I3700" s="2" t="s">
        <v>8850</v>
      </c>
      <c r="J3700" s="3" t="str">
        <f>HYPERLINK("https://www.boe.es/gazeta/dias/1817/01/25/pdfs/GMD-1817-11.pdf#page=8","Abrir facsímil")</f>
        <v>Abrir facsímil</v>
      </c>
      <c r="K3700" s="3" t="s">
        <v>23</v>
      </c>
    </row>
    <row r="3701" spans="1:11" ht="42" customHeight="1">
      <c r="A3701" s="2" t="s">
        <v>8851</v>
      </c>
      <c r="B3701" s="2" t="s">
        <v>8852</v>
      </c>
      <c r="C3701" s="2" t="s">
        <v>138</v>
      </c>
      <c r="D3701" s="2" t="s">
        <v>44</v>
      </c>
      <c r="E3701" s="5">
        <v>-30251</v>
      </c>
      <c r="F3701" s="3" t="s">
        <v>2096</v>
      </c>
      <c r="G3701" s="3" t="s">
        <v>8853</v>
      </c>
      <c r="H3701" s="2" t="s">
        <v>21</v>
      </c>
      <c r="I3701" s="2" t="s">
        <v>8854</v>
      </c>
      <c r="J3701" s="3" t="str">
        <f>HYPERLINK("https://www.boe.es/gazeta/dias/1817/03/04/pdfs/GMD-1817-27.pdf#page=3","Abrir facsímil")</f>
        <v>Abrir facsímil</v>
      </c>
      <c r="K3701" s="3" t="s">
        <v>23</v>
      </c>
    </row>
    <row r="3702" spans="1:11" ht="42" customHeight="1">
      <c r="A3702" s="2" t="s">
        <v>8855</v>
      </c>
      <c r="B3702" s="2" t="s">
        <v>8855</v>
      </c>
      <c r="C3702" s="2" t="s">
        <v>36</v>
      </c>
      <c r="D3702" s="2" t="s">
        <v>37</v>
      </c>
      <c r="E3702" s="5">
        <v>-30170</v>
      </c>
      <c r="F3702" s="3" t="s">
        <v>98</v>
      </c>
      <c r="G3702" s="3" t="s">
        <v>551</v>
      </c>
      <c r="H3702" s="2" t="s">
        <v>21</v>
      </c>
      <c r="I3702" s="2" t="s">
        <v>8856</v>
      </c>
      <c r="J3702" s="3" t="str">
        <f>HYPERLINK("https://www.boe.es/gazeta/dias/1817/05/24/pdfs/GMD-1817-62.pdf#page=3","Abrir facsímil")</f>
        <v>Abrir facsímil</v>
      </c>
      <c r="K3702" s="3" t="s">
        <v>23</v>
      </c>
    </row>
    <row r="3703" spans="1:11" ht="42" customHeight="1">
      <c r="A3703" s="2" t="s">
        <v>8857</v>
      </c>
      <c r="B3703" s="2" t="s">
        <v>8858</v>
      </c>
      <c r="C3703" s="2" t="s">
        <v>36</v>
      </c>
      <c r="D3703" s="2" t="s">
        <v>37</v>
      </c>
      <c r="E3703" s="5">
        <v>-30011</v>
      </c>
      <c r="F3703" s="3" t="s">
        <v>313</v>
      </c>
      <c r="G3703" s="3" t="s">
        <v>887</v>
      </c>
      <c r="H3703" s="2" t="s">
        <v>21</v>
      </c>
      <c r="I3703" s="2" t="s">
        <v>8859</v>
      </c>
      <c r="J3703" s="3" t="str">
        <f>HYPERLINK("https://www.boe.es/gazeta/dias/1817/10/30/pdfs/GMD-1817-130.pdf#page=9","Abrir facsímil")</f>
        <v>Abrir facsímil</v>
      </c>
      <c r="K3703" s="3" t="s">
        <v>23</v>
      </c>
    </row>
    <row r="3704" spans="1:11" ht="42" customHeight="1">
      <c r="A3704" s="2" t="s">
        <v>8860</v>
      </c>
      <c r="B3704" s="2" t="s">
        <v>8861</v>
      </c>
      <c r="C3704" s="2" t="s">
        <v>36</v>
      </c>
      <c r="D3704" s="2" t="s">
        <v>37</v>
      </c>
      <c r="E3704" s="5">
        <v>-30188</v>
      </c>
      <c r="F3704" s="3" t="s">
        <v>177</v>
      </c>
      <c r="G3704" s="3" t="s">
        <v>144</v>
      </c>
      <c r="H3704" s="2" t="s">
        <v>21</v>
      </c>
      <c r="I3704" s="2" t="s">
        <v>8862</v>
      </c>
      <c r="J3704" s="3" t="str">
        <f>HYPERLINK("https://www.boe.es/gazeta/dias/1817/05/06/pdfs/GMD-1817-54.pdf#page=4","Abrir facsímil")</f>
        <v>Abrir facsímil</v>
      </c>
      <c r="K3704" s="3" t="s">
        <v>23</v>
      </c>
    </row>
    <row r="3705" spans="1:11" ht="42" customHeight="1">
      <c r="A3705" s="2" t="s">
        <v>8863</v>
      </c>
      <c r="B3705" s="2" t="s">
        <v>8864</v>
      </c>
      <c r="C3705" s="2" t="s">
        <v>36</v>
      </c>
      <c r="D3705" s="2" t="s">
        <v>37</v>
      </c>
      <c r="E3705" s="5">
        <v>-30065</v>
      </c>
      <c r="F3705" s="3" t="s">
        <v>201</v>
      </c>
      <c r="G3705" s="3" t="s">
        <v>20</v>
      </c>
      <c r="H3705" s="2" t="s">
        <v>21</v>
      </c>
      <c r="I3705" s="2" t="s">
        <v>8865</v>
      </c>
      <c r="J3705" s="3" t="str">
        <f>HYPERLINK("https://www.boe.es/gazeta/dias/1817/09/06/pdfs/GMD-1817-107.pdf#page=7","Abrir facsímil")</f>
        <v>Abrir facsímil</v>
      </c>
      <c r="K3705" s="3" t="s">
        <v>23</v>
      </c>
    </row>
    <row r="3706" spans="1:11" ht="42" customHeight="1">
      <c r="A3706" s="2" t="s">
        <v>8866</v>
      </c>
      <c r="B3706" s="2" t="s">
        <v>8867</v>
      </c>
      <c r="C3706" s="2" t="s">
        <v>17</v>
      </c>
      <c r="D3706" s="2" t="s">
        <v>18</v>
      </c>
      <c r="E3706" s="5">
        <v>-30016</v>
      </c>
      <c r="F3706" s="3" t="s">
        <v>2582</v>
      </c>
      <c r="G3706" s="3" t="s">
        <v>144</v>
      </c>
      <c r="H3706" s="2" t="s">
        <v>21</v>
      </c>
      <c r="I3706" s="2" t="s">
        <v>8868</v>
      </c>
      <c r="J3706" s="3" t="str">
        <f>HYPERLINK("https://www.boe.es/gazeta/dias/1817/10/25/pdfs/GMD-1817-128.pdf#page=4","Abrir facsímil")</f>
        <v>Abrir facsímil</v>
      </c>
      <c r="K3706" s="3" t="s">
        <v>23</v>
      </c>
    </row>
    <row r="3707" spans="1:11" ht="42" customHeight="1">
      <c r="A3707" s="2" t="s">
        <v>8869</v>
      </c>
      <c r="B3707" s="2" t="s">
        <v>8869</v>
      </c>
      <c r="C3707" s="2" t="s">
        <v>55</v>
      </c>
      <c r="D3707" s="2" t="s">
        <v>44</v>
      </c>
      <c r="E3707" s="5">
        <v>-30305</v>
      </c>
      <c r="F3707" s="3" t="s">
        <v>405</v>
      </c>
      <c r="G3707" s="3" t="s">
        <v>7687</v>
      </c>
      <c r="H3707" s="2" t="s">
        <v>21</v>
      </c>
      <c r="I3707" s="2" t="s">
        <v>8870</v>
      </c>
      <c r="J3707" s="3" t="str">
        <f>HYPERLINK("https://www.boe.es/gazeta/dias/1817/01/09/pdfs/GMD-1817-4.pdf#page=5","Abrir facsímil")</f>
        <v>Abrir facsímil</v>
      </c>
      <c r="K3707" s="3" t="s">
        <v>23</v>
      </c>
    </row>
    <row r="3708" spans="1:11" ht="42" customHeight="1">
      <c r="A3708" s="2" t="s">
        <v>8871</v>
      </c>
      <c r="B3708" s="2" t="s">
        <v>8872</v>
      </c>
      <c r="C3708" s="2" t="s">
        <v>17</v>
      </c>
      <c r="D3708" s="2" t="s">
        <v>18</v>
      </c>
      <c r="E3708" s="5">
        <v>-30265</v>
      </c>
      <c r="F3708" s="3" t="s">
        <v>107</v>
      </c>
      <c r="G3708" s="3" t="s">
        <v>997</v>
      </c>
      <c r="H3708" s="2" t="s">
        <v>21</v>
      </c>
      <c r="I3708" s="2" t="s">
        <v>8873</v>
      </c>
      <c r="J3708" s="3" t="str">
        <f>HYPERLINK("https://www.boe.es/gazeta/dias/1817/02/18/pdfs/GMD-1817-21.pdf#page=5","Abrir facsímil")</f>
        <v>Abrir facsímil</v>
      </c>
      <c r="K3708" s="3" t="s">
        <v>23</v>
      </c>
    </row>
    <row r="3709" spans="1:11" ht="42" customHeight="1">
      <c r="A3709" s="2" t="s">
        <v>8871</v>
      </c>
      <c r="B3709" s="2" t="s">
        <v>8872</v>
      </c>
      <c r="C3709" s="2" t="s">
        <v>17</v>
      </c>
      <c r="D3709" s="2" t="s">
        <v>18</v>
      </c>
      <c r="E3709" s="5">
        <v>-30132</v>
      </c>
      <c r="F3709" s="3" t="s">
        <v>718</v>
      </c>
      <c r="G3709" s="3" t="s">
        <v>39</v>
      </c>
      <c r="H3709" s="2" t="s">
        <v>21</v>
      </c>
      <c r="I3709" s="2" t="s">
        <v>8874</v>
      </c>
      <c r="J3709" s="3" t="str">
        <f>HYPERLINK("https://www.boe.es/gazeta/dias/1817/07/01/pdfs/GMD-1817-78.pdf#page=5","Abrir facsímil")</f>
        <v>Abrir facsímil</v>
      </c>
      <c r="K3709" s="3" t="s">
        <v>23</v>
      </c>
    </row>
    <row r="3710" spans="1:11" ht="42" customHeight="1">
      <c r="A3710" s="2" t="s">
        <v>8875</v>
      </c>
      <c r="B3710" s="2" t="s">
        <v>8875</v>
      </c>
      <c r="C3710" s="2" t="s">
        <v>55</v>
      </c>
      <c r="D3710" s="2" t="s">
        <v>44</v>
      </c>
      <c r="E3710" s="5">
        <v>-30226</v>
      </c>
      <c r="F3710" s="3" t="s">
        <v>416</v>
      </c>
      <c r="G3710" s="3" t="s">
        <v>77</v>
      </c>
      <c r="H3710" s="2" t="s">
        <v>21</v>
      </c>
      <c r="I3710" s="2" t="s">
        <v>8876</v>
      </c>
      <c r="J3710" s="3" t="str">
        <f>HYPERLINK("https://www.boe.es/gazeta/dias/1817/03/29/pdfs/GMD-1817-38.pdf#page=8","Abrir facsímil")</f>
        <v>Abrir facsímil</v>
      </c>
      <c r="K3710" s="3" t="s">
        <v>23</v>
      </c>
    </row>
    <row r="3711" spans="1:11" ht="42" customHeight="1">
      <c r="A3711" s="2" t="s">
        <v>8877</v>
      </c>
      <c r="B3711" s="2" t="s">
        <v>8878</v>
      </c>
      <c r="C3711" s="2" t="s">
        <v>36</v>
      </c>
      <c r="D3711" s="2" t="s">
        <v>37</v>
      </c>
      <c r="E3711" s="5">
        <v>-30200</v>
      </c>
      <c r="F3711" s="3" t="s">
        <v>725</v>
      </c>
      <c r="G3711" s="3" t="s">
        <v>57</v>
      </c>
      <c r="H3711" s="2" t="s">
        <v>21</v>
      </c>
      <c r="I3711" s="2" t="s">
        <v>8879</v>
      </c>
      <c r="J3711" s="3" t="str">
        <f>HYPERLINK("https://www.boe.es/gazeta/dias/1817/04/24/pdfs/GMD-1817-49.pdf#page=6","Abrir facsímil")</f>
        <v>Abrir facsímil</v>
      </c>
      <c r="K3711" s="3" t="s">
        <v>23</v>
      </c>
    </row>
    <row r="3712" spans="1:11" ht="42" customHeight="1">
      <c r="A3712" s="2" t="s">
        <v>8880</v>
      </c>
      <c r="B3712" s="2" t="s">
        <v>8881</v>
      </c>
      <c r="C3712" s="2" t="s">
        <v>17</v>
      </c>
      <c r="D3712" s="2" t="s">
        <v>18</v>
      </c>
      <c r="E3712" s="5">
        <v>-30039</v>
      </c>
      <c r="F3712" s="3" t="s">
        <v>558</v>
      </c>
      <c r="G3712" s="3" t="s">
        <v>77</v>
      </c>
      <c r="H3712" s="2" t="s">
        <v>21</v>
      </c>
      <c r="I3712" s="2" t="s">
        <v>8882</v>
      </c>
      <c r="J3712" s="3" t="str">
        <f>HYPERLINK("https://www.boe.es/gazeta/dias/1817/10/02/pdfs/GMD-1817-118.pdf#page=8","Abrir facsímil")</f>
        <v>Abrir facsímil</v>
      </c>
      <c r="K3712" s="3" t="s">
        <v>23</v>
      </c>
    </row>
    <row r="3713" spans="1:11" ht="42" customHeight="1">
      <c r="A3713" s="2" t="s">
        <v>8880</v>
      </c>
      <c r="B3713" s="2" t="s">
        <v>8881</v>
      </c>
      <c r="C3713" s="2" t="s">
        <v>49</v>
      </c>
      <c r="D3713" s="2" t="s">
        <v>44</v>
      </c>
      <c r="E3713" s="5">
        <v>-30006</v>
      </c>
      <c r="F3713" s="3" t="s">
        <v>210</v>
      </c>
      <c r="G3713" s="3" t="s">
        <v>77</v>
      </c>
      <c r="H3713" s="2" t="s">
        <v>21</v>
      </c>
      <c r="I3713" s="2" t="s">
        <v>8883</v>
      </c>
      <c r="J3713" s="3" t="str">
        <f>HYPERLINK("https://www.boe.es/gazeta/dias/1817/11/04/pdfs/GMD-1817-132.pdf#page=8","Abrir facsímil")</f>
        <v>Abrir facsímil</v>
      </c>
      <c r="K3713" s="3" t="s">
        <v>23</v>
      </c>
    </row>
    <row r="3714" spans="1:11" ht="42" customHeight="1">
      <c r="A3714" s="2" t="s">
        <v>8884</v>
      </c>
      <c r="B3714" s="2" t="s">
        <v>8885</v>
      </c>
      <c r="C3714" s="2" t="s">
        <v>36</v>
      </c>
      <c r="D3714" s="2" t="s">
        <v>37</v>
      </c>
      <c r="E3714" s="5">
        <v>-29957</v>
      </c>
      <c r="F3714" s="3" t="s">
        <v>1001</v>
      </c>
      <c r="G3714" s="3" t="s">
        <v>20</v>
      </c>
      <c r="H3714" s="2" t="s">
        <v>21</v>
      </c>
      <c r="I3714" s="2" t="s">
        <v>8886</v>
      </c>
      <c r="J3714" s="3" t="str">
        <f>HYPERLINK("https://www.boe.es/gazeta/dias/1817/12/23/pdfs/GMD-1817-153.pdf#page=7","Abrir facsímil")</f>
        <v>Abrir facsímil</v>
      </c>
      <c r="K3714" s="3" t="s">
        <v>23</v>
      </c>
    </row>
    <row r="3715" spans="1:11" ht="42" customHeight="1">
      <c r="A3715" s="2" t="s">
        <v>8887</v>
      </c>
      <c r="B3715" s="2" t="s">
        <v>8888</v>
      </c>
      <c r="C3715" s="2" t="s">
        <v>36</v>
      </c>
      <c r="D3715" s="2" t="s">
        <v>37</v>
      </c>
      <c r="E3715" s="5">
        <v>-30307</v>
      </c>
      <c r="F3715" s="3" t="s">
        <v>67</v>
      </c>
      <c r="G3715" s="3" t="s">
        <v>68</v>
      </c>
      <c r="H3715" s="2" t="s">
        <v>21</v>
      </c>
      <c r="I3715" s="2" t="s">
        <v>8889</v>
      </c>
      <c r="J3715" s="3" t="str">
        <f>HYPERLINK("https://www.boe.es/gazeta/dias/1817/01/07/pdfs/GMD-1817-3.pdf#page=8","Abrir facsímil")</f>
        <v>Abrir facsímil</v>
      </c>
      <c r="K3715" s="3" t="s">
        <v>23</v>
      </c>
    </row>
    <row r="3716" spans="1:11" ht="42" customHeight="1">
      <c r="A3716" s="2" t="s">
        <v>8890</v>
      </c>
      <c r="B3716" s="2" t="s">
        <v>8891</v>
      </c>
      <c r="C3716" s="2" t="s">
        <v>510</v>
      </c>
      <c r="D3716" s="2" t="s">
        <v>44</v>
      </c>
      <c r="E3716" s="5">
        <v>-30104</v>
      </c>
      <c r="F3716" s="3" t="s">
        <v>856</v>
      </c>
      <c r="G3716" s="3" t="s">
        <v>20</v>
      </c>
      <c r="H3716" s="2" t="s">
        <v>21</v>
      </c>
      <c r="I3716" s="2" t="s">
        <v>8892</v>
      </c>
      <c r="J3716" s="3" t="str">
        <f>HYPERLINK("https://www.boe.es/gazeta/dias/1817/07/29/pdfs/GMD-1817-90.pdf#page=7","Abrir facsímil")</f>
        <v>Abrir facsímil</v>
      </c>
      <c r="K3716" s="3" t="s">
        <v>23</v>
      </c>
    </row>
    <row r="3717" spans="1:11" ht="42" customHeight="1">
      <c r="A3717" s="2" t="s">
        <v>8893</v>
      </c>
      <c r="B3717" s="2" t="s">
        <v>8894</v>
      </c>
      <c r="C3717" s="2" t="s">
        <v>36</v>
      </c>
      <c r="D3717" s="2" t="s">
        <v>37</v>
      </c>
      <c r="E3717" s="5">
        <v>-30307</v>
      </c>
      <c r="F3717" s="3" t="s">
        <v>67</v>
      </c>
      <c r="G3717" s="3" t="s">
        <v>68</v>
      </c>
      <c r="H3717" s="2" t="s">
        <v>21</v>
      </c>
      <c r="I3717" s="2" t="s">
        <v>8895</v>
      </c>
      <c r="J3717" s="3" t="str">
        <f>HYPERLINK("https://www.boe.es/gazeta/dias/1817/01/07/pdfs/GMD-1817-3.pdf#page=8","Abrir facsímil")</f>
        <v>Abrir facsímil</v>
      </c>
      <c r="K3717" s="3" t="s">
        <v>23</v>
      </c>
    </row>
    <row r="3718" spans="1:11" ht="42" customHeight="1">
      <c r="A3718" s="2" t="s">
        <v>8896</v>
      </c>
      <c r="B3718" s="2" t="s">
        <v>8897</v>
      </c>
      <c r="C3718" s="2" t="s">
        <v>17</v>
      </c>
      <c r="D3718" s="2" t="s">
        <v>18</v>
      </c>
      <c r="E3718" s="5">
        <v>-30158</v>
      </c>
      <c r="F3718" s="3" t="s">
        <v>305</v>
      </c>
      <c r="G3718" s="3" t="s">
        <v>20</v>
      </c>
      <c r="H3718" s="2" t="s">
        <v>21</v>
      </c>
      <c r="I3718" s="2" t="s">
        <v>8898</v>
      </c>
      <c r="J3718" s="3" t="str">
        <f>HYPERLINK("https://www.boe.es/gazeta/dias/1817/06/05/pdfs/GMD-1817-67.pdf#page=7","Abrir facsímil")</f>
        <v>Abrir facsímil</v>
      </c>
      <c r="K3718" s="3" t="s">
        <v>23</v>
      </c>
    </row>
    <row r="3719" spans="1:11" ht="42" customHeight="1">
      <c r="A3719" s="2" t="s">
        <v>8899</v>
      </c>
      <c r="B3719" s="2" t="s">
        <v>8900</v>
      </c>
      <c r="C3719" s="2" t="s">
        <v>43</v>
      </c>
      <c r="D3719" s="2" t="s">
        <v>44</v>
      </c>
      <c r="E3719" s="5">
        <v>-30289</v>
      </c>
      <c r="F3719" s="3" t="s">
        <v>193</v>
      </c>
      <c r="G3719" s="3" t="s">
        <v>39</v>
      </c>
      <c r="H3719" s="2" t="s">
        <v>21</v>
      </c>
      <c r="I3719" s="2" t="s">
        <v>8901</v>
      </c>
      <c r="J3719" s="3" t="str">
        <f>HYPERLINK("https://www.boe.es/gazeta/dias/1817/01/25/pdfs/GMD-1817-11.pdf#page=5","Abrir facsímil")</f>
        <v>Abrir facsímil</v>
      </c>
      <c r="K3719" s="3" t="s">
        <v>23</v>
      </c>
    </row>
    <row r="3720" spans="1:11" ht="42" customHeight="1">
      <c r="A3720" s="2" t="s">
        <v>8902</v>
      </c>
      <c r="B3720" s="2" t="s">
        <v>8903</v>
      </c>
      <c r="C3720" s="2" t="s">
        <v>55</v>
      </c>
      <c r="D3720" s="2" t="s">
        <v>44</v>
      </c>
      <c r="E3720" s="5">
        <v>-30258</v>
      </c>
      <c r="F3720" s="3" t="s">
        <v>234</v>
      </c>
      <c r="G3720" s="3" t="s">
        <v>144</v>
      </c>
      <c r="H3720" s="2" t="s">
        <v>21</v>
      </c>
      <c r="I3720" s="2" t="s">
        <v>8904</v>
      </c>
      <c r="J3720" s="3" t="str">
        <f>HYPERLINK("https://www.boe.es/gazeta/dias/1817/02/25/pdfs/GMD-1817-24.pdf#page=4","Abrir facsímil")</f>
        <v>Abrir facsímil</v>
      </c>
      <c r="K3720" s="3" t="s">
        <v>23</v>
      </c>
    </row>
    <row r="3721" spans="1:11" ht="42" customHeight="1">
      <c r="A3721" s="2" t="s">
        <v>8902</v>
      </c>
      <c r="B3721" s="2" t="s">
        <v>8903</v>
      </c>
      <c r="C3721" s="2" t="s">
        <v>55</v>
      </c>
      <c r="D3721" s="2" t="s">
        <v>44</v>
      </c>
      <c r="E3721" s="5">
        <v>-30062</v>
      </c>
      <c r="F3721" s="3" t="s">
        <v>444</v>
      </c>
      <c r="G3721" s="3" t="s">
        <v>112</v>
      </c>
      <c r="H3721" s="2" t="s">
        <v>21</v>
      </c>
      <c r="I3721" s="2" t="s">
        <v>8905</v>
      </c>
      <c r="J3721" s="3" t="str">
        <f>HYPERLINK("https://www.boe.es/gazeta/dias/1817/09/09/pdfs/GMD-1817-108.pdf#page=11","Abrir facsímil")</f>
        <v>Abrir facsímil</v>
      </c>
      <c r="K3721" s="3" t="s">
        <v>23</v>
      </c>
    </row>
    <row r="3722" spans="1:11" ht="42" customHeight="1">
      <c r="A3722" s="2" t="s">
        <v>8906</v>
      </c>
      <c r="B3722" s="2" t="s">
        <v>8907</v>
      </c>
      <c r="C3722" s="2" t="s">
        <v>36</v>
      </c>
      <c r="D3722" s="2" t="s">
        <v>37</v>
      </c>
      <c r="E3722" s="5">
        <v>-29999</v>
      </c>
      <c r="F3722" s="3" t="s">
        <v>471</v>
      </c>
      <c r="G3722" s="3" t="s">
        <v>5923</v>
      </c>
      <c r="H3722" s="2" t="s">
        <v>21</v>
      </c>
      <c r="I3722" s="2" t="s">
        <v>8908</v>
      </c>
      <c r="J3722" s="3" t="str">
        <f>HYPERLINK("https://www.boe.es/gazeta/dias/1817/11/11/pdfs/GMD-1817-135.pdf#page=4","Abrir facsímil")</f>
        <v>Abrir facsímil</v>
      </c>
      <c r="K3722" s="3" t="s">
        <v>23</v>
      </c>
    </row>
    <row r="3723" spans="1:11" ht="42" customHeight="1">
      <c r="A3723" s="2" t="s">
        <v>8909</v>
      </c>
      <c r="B3723" s="2" t="s">
        <v>8910</v>
      </c>
      <c r="C3723" s="2" t="s">
        <v>17</v>
      </c>
      <c r="D3723" s="2" t="s">
        <v>18</v>
      </c>
      <c r="E3723" s="5">
        <v>-30277</v>
      </c>
      <c r="F3723" s="3" t="s">
        <v>3822</v>
      </c>
      <c r="G3723" s="3" t="s">
        <v>77</v>
      </c>
      <c r="H3723" s="2" t="s">
        <v>21</v>
      </c>
      <c r="I3723" s="2" t="s">
        <v>8911</v>
      </c>
      <c r="J3723" s="3" t="str">
        <f>HYPERLINK("https://www.boe.es/gazeta/dias/1817/02/06/pdfs/GMD-1817-16.pdf#page=8","Abrir facsímil")</f>
        <v>Abrir facsímil</v>
      </c>
      <c r="K3723" s="3" t="s">
        <v>23</v>
      </c>
    </row>
    <row r="3724" spans="1:11" ht="42" customHeight="1">
      <c r="A3724" s="2" t="s">
        <v>8912</v>
      </c>
      <c r="B3724" s="2" t="s">
        <v>8913</v>
      </c>
      <c r="C3724" s="2" t="s">
        <v>36</v>
      </c>
      <c r="D3724" s="2" t="s">
        <v>37</v>
      </c>
      <c r="E3724" s="5">
        <v>-30282</v>
      </c>
      <c r="F3724" s="3" t="s">
        <v>1049</v>
      </c>
      <c r="G3724" s="3" t="s">
        <v>57</v>
      </c>
      <c r="H3724" s="2" t="s">
        <v>21</v>
      </c>
      <c r="I3724" s="2" t="s">
        <v>8914</v>
      </c>
      <c r="J3724" s="3" t="str">
        <f>HYPERLINK("https://www.boe.es/gazeta/dias/1817/02/01/pdfs/GMD-1817-14.pdf#page=6","Abrir facsímil")</f>
        <v>Abrir facsímil</v>
      </c>
      <c r="K3724" s="3" t="s">
        <v>23</v>
      </c>
    </row>
    <row r="3725" spans="1:11" ht="42" customHeight="1">
      <c r="A3725" s="2" t="s">
        <v>8915</v>
      </c>
      <c r="B3725" s="2" t="s">
        <v>8916</v>
      </c>
      <c r="C3725" s="2" t="s">
        <v>36</v>
      </c>
      <c r="D3725" s="2" t="s">
        <v>37</v>
      </c>
      <c r="E3725" s="5">
        <v>-30256</v>
      </c>
      <c r="F3725" s="3" t="s">
        <v>302</v>
      </c>
      <c r="G3725" s="3" t="s">
        <v>144</v>
      </c>
      <c r="H3725" s="2" t="s">
        <v>21</v>
      </c>
      <c r="I3725" s="2" t="s">
        <v>8917</v>
      </c>
      <c r="J3725" s="3" t="str">
        <f>HYPERLINK("https://www.boe.es/gazeta/dias/1817/02/27/pdfs/GMD-1817-25.pdf#page=4","Abrir facsímil")</f>
        <v>Abrir facsímil</v>
      </c>
      <c r="K3725" s="3" t="s">
        <v>23</v>
      </c>
    </row>
    <row r="3726" spans="1:11" ht="42" customHeight="1">
      <c r="A3726" s="2" t="s">
        <v>8915</v>
      </c>
      <c r="B3726" s="2" t="s">
        <v>8916</v>
      </c>
      <c r="C3726" s="2" t="s">
        <v>17</v>
      </c>
      <c r="D3726" s="2" t="s">
        <v>18</v>
      </c>
      <c r="E3726" s="5">
        <v>-30167</v>
      </c>
      <c r="F3726" s="3" t="s">
        <v>153</v>
      </c>
      <c r="G3726" s="3" t="s">
        <v>57</v>
      </c>
      <c r="H3726" s="2" t="s">
        <v>21</v>
      </c>
      <c r="I3726" s="2" t="s">
        <v>8918</v>
      </c>
      <c r="J3726" s="3" t="str">
        <f>HYPERLINK("https://www.boe.es/gazeta/dias/1817/05/27/pdfs/GMD-1817-63.pdf#page=6","Abrir facsímil")</f>
        <v>Abrir facsímil</v>
      </c>
      <c r="K3726" s="3" t="s">
        <v>23</v>
      </c>
    </row>
    <row r="3727" spans="1:11" ht="42" customHeight="1">
      <c r="A3727" s="2" t="s">
        <v>8919</v>
      </c>
      <c r="B3727" s="2" t="s">
        <v>8920</v>
      </c>
      <c r="C3727" s="2" t="s">
        <v>36</v>
      </c>
      <c r="D3727" s="2" t="s">
        <v>37</v>
      </c>
      <c r="E3727" s="5">
        <v>-29995</v>
      </c>
      <c r="F3727" s="3" t="s">
        <v>514</v>
      </c>
      <c r="G3727" s="3" t="s">
        <v>144</v>
      </c>
      <c r="H3727" s="2" t="s">
        <v>21</v>
      </c>
      <c r="I3727" s="2" t="s">
        <v>8921</v>
      </c>
      <c r="J3727" s="3" t="str">
        <f>HYPERLINK("https://www.boe.es/gazeta/dias/1817/11/15/pdfs/GMD-1817-137.pdf#page=4","Abrir facsímil")</f>
        <v>Abrir facsímil</v>
      </c>
      <c r="K3727" s="3" t="s">
        <v>23</v>
      </c>
    </row>
    <row r="3728" spans="1:11" ht="42" customHeight="1">
      <c r="A3728" s="2" t="s">
        <v>8922</v>
      </c>
      <c r="B3728" s="2" t="s">
        <v>8923</v>
      </c>
      <c r="C3728" s="2" t="s">
        <v>17</v>
      </c>
      <c r="D3728" s="2" t="s">
        <v>18</v>
      </c>
      <c r="E3728" s="5">
        <v>-30268</v>
      </c>
      <c r="F3728" s="3" t="s">
        <v>1160</v>
      </c>
      <c r="G3728" s="3" t="s">
        <v>20</v>
      </c>
      <c r="H3728" s="2" t="s">
        <v>21</v>
      </c>
      <c r="I3728" s="2" t="s">
        <v>8924</v>
      </c>
      <c r="J3728" s="3" t="str">
        <f>HYPERLINK("https://www.boe.es/gazeta/dias/1817/02/15/pdfs/GMD-1817-20.pdf#page=7","Abrir facsímil")</f>
        <v>Abrir facsímil</v>
      </c>
      <c r="K3728" s="3" t="s">
        <v>23</v>
      </c>
    </row>
    <row r="3729" spans="1:11" ht="42" customHeight="1">
      <c r="A3729" s="2" t="s">
        <v>8922</v>
      </c>
      <c r="B3729" s="2" t="s">
        <v>8923</v>
      </c>
      <c r="C3729" s="2" t="s">
        <v>17</v>
      </c>
      <c r="D3729" s="2" t="s">
        <v>18</v>
      </c>
      <c r="E3729" s="5">
        <v>-30256</v>
      </c>
      <c r="F3729" s="3" t="s">
        <v>302</v>
      </c>
      <c r="G3729" s="3" t="s">
        <v>688</v>
      </c>
      <c r="H3729" s="2" t="s">
        <v>21</v>
      </c>
      <c r="I3729" s="2" t="s">
        <v>8925</v>
      </c>
      <c r="J3729" s="3" t="str">
        <f>HYPERLINK("https://www.boe.es/gazeta/dias/1817/02/27/pdfs/GMD-1817-25.pdf#page=6","Abrir facsímil")</f>
        <v>Abrir facsímil</v>
      </c>
      <c r="K3729" s="3" t="s">
        <v>23</v>
      </c>
    </row>
    <row r="3730" spans="1:11" ht="42" customHeight="1">
      <c r="A3730" s="2" t="s">
        <v>8922</v>
      </c>
      <c r="B3730" s="2" t="s">
        <v>8923</v>
      </c>
      <c r="C3730" s="2" t="s">
        <v>17</v>
      </c>
      <c r="D3730" s="2" t="s">
        <v>18</v>
      </c>
      <c r="E3730" s="5">
        <v>-30251</v>
      </c>
      <c r="F3730" s="3" t="s">
        <v>2096</v>
      </c>
      <c r="G3730" s="3" t="s">
        <v>20</v>
      </c>
      <c r="H3730" s="2" t="s">
        <v>21</v>
      </c>
      <c r="I3730" s="2" t="s">
        <v>8926</v>
      </c>
      <c r="J3730" s="3" t="str">
        <f>HYPERLINK("https://www.boe.es/gazeta/dias/1817/03/04/pdfs/GMD-1817-27.pdf#page=7","Abrir facsímil")</f>
        <v>Abrir facsímil</v>
      </c>
      <c r="K3730" s="3" t="s">
        <v>23</v>
      </c>
    </row>
    <row r="3731" spans="1:11" ht="42" customHeight="1">
      <c r="A3731" s="2" t="s">
        <v>8922</v>
      </c>
      <c r="B3731" s="2" t="s">
        <v>8923</v>
      </c>
      <c r="C3731" s="2" t="s">
        <v>17</v>
      </c>
      <c r="D3731" s="2" t="s">
        <v>18</v>
      </c>
      <c r="E3731" s="5">
        <v>-30237</v>
      </c>
      <c r="F3731" s="3" t="s">
        <v>56</v>
      </c>
      <c r="G3731" s="3" t="s">
        <v>144</v>
      </c>
      <c r="H3731" s="2" t="s">
        <v>21</v>
      </c>
      <c r="I3731" s="2" t="s">
        <v>8927</v>
      </c>
      <c r="J3731" s="3" t="str">
        <f>HYPERLINK("https://www.boe.es/gazeta/dias/1817/03/18/pdfs/GMD-1817-33.pdf#page=4","Abrir facsímil")</f>
        <v>Abrir facsímil</v>
      </c>
      <c r="K3731" s="3" t="s">
        <v>23</v>
      </c>
    </row>
    <row r="3732" spans="1:11" ht="42" customHeight="1">
      <c r="A3732" s="2" t="s">
        <v>8922</v>
      </c>
      <c r="B3732" s="2" t="s">
        <v>8923</v>
      </c>
      <c r="C3732" s="2" t="s">
        <v>17</v>
      </c>
      <c r="D3732" s="2" t="s">
        <v>18</v>
      </c>
      <c r="E3732" s="5">
        <v>-30223</v>
      </c>
      <c r="F3732" s="3" t="s">
        <v>627</v>
      </c>
      <c r="G3732" s="3" t="s">
        <v>8928</v>
      </c>
      <c r="H3732" s="2" t="s">
        <v>21</v>
      </c>
      <c r="I3732" s="2" t="s">
        <v>8929</v>
      </c>
      <c r="J3732" s="3" t="str">
        <f>HYPERLINK("https://www.boe.es/gazeta/dias/1817/04/01/pdfs/GMD-1817-39.pdf#page=4","Abrir facsímil")</f>
        <v>Abrir facsímil</v>
      </c>
      <c r="K3732" s="3" t="s">
        <v>23</v>
      </c>
    </row>
    <row r="3733" spans="1:11" ht="42" customHeight="1">
      <c r="A3733" s="2" t="s">
        <v>8922</v>
      </c>
      <c r="B3733" s="2" t="s">
        <v>8923</v>
      </c>
      <c r="C3733" s="2" t="s">
        <v>17</v>
      </c>
      <c r="D3733" s="2" t="s">
        <v>18</v>
      </c>
      <c r="E3733" s="5">
        <v>-30153</v>
      </c>
      <c r="F3733" s="3" t="s">
        <v>843</v>
      </c>
      <c r="G3733" s="3" t="s">
        <v>57</v>
      </c>
      <c r="H3733" s="2" t="s">
        <v>21</v>
      </c>
      <c r="I3733" s="2" t="s">
        <v>8930</v>
      </c>
      <c r="J3733" s="3" t="str">
        <f>HYPERLINK("https://www.boe.es/gazeta/dias/1817/06/10/pdfs/GMD-1817-69.pdf#page=6","Abrir facsímil")</f>
        <v>Abrir facsímil</v>
      </c>
      <c r="K3733" s="3" t="s">
        <v>23</v>
      </c>
    </row>
    <row r="3734" spans="1:11" ht="42" customHeight="1">
      <c r="A3734" s="2" t="s">
        <v>8922</v>
      </c>
      <c r="B3734" s="2" t="s">
        <v>8923</v>
      </c>
      <c r="C3734" s="2" t="s">
        <v>17</v>
      </c>
      <c r="D3734" s="2" t="s">
        <v>18</v>
      </c>
      <c r="E3734" s="5">
        <v>-30139</v>
      </c>
      <c r="F3734" s="3" t="s">
        <v>993</v>
      </c>
      <c r="G3734" s="3" t="s">
        <v>8931</v>
      </c>
      <c r="H3734" s="2" t="s">
        <v>21</v>
      </c>
      <c r="I3734" s="2" t="s">
        <v>8932</v>
      </c>
      <c r="J3734" s="3" t="str">
        <f>HYPERLINK("https://www.boe.es/gazeta/dias/1817/06/24/pdfs/GMD-1817-75.pdf#page=7","Abrir facsímil")</f>
        <v>Abrir facsímil</v>
      </c>
      <c r="K3734" s="3" t="s">
        <v>23</v>
      </c>
    </row>
    <row r="3735" spans="1:11" ht="42" customHeight="1">
      <c r="A3735" s="2" t="s">
        <v>8922</v>
      </c>
      <c r="B3735" s="2" t="s">
        <v>8923</v>
      </c>
      <c r="C3735" s="2" t="s">
        <v>36</v>
      </c>
      <c r="D3735" s="2" t="s">
        <v>37</v>
      </c>
      <c r="E3735" s="5">
        <v>-30118</v>
      </c>
      <c r="F3735" s="3" t="s">
        <v>432</v>
      </c>
      <c r="G3735" s="3" t="s">
        <v>8933</v>
      </c>
      <c r="H3735" s="2" t="s">
        <v>21</v>
      </c>
      <c r="I3735" s="2" t="s">
        <v>8934</v>
      </c>
      <c r="J3735" s="3" t="str">
        <f>HYPERLINK("https://www.boe.es/gazeta/dias/1817/07/15/pdfs/GMD-1817-84.pdf#page=6","Abrir facsímil")</f>
        <v>Abrir facsímil</v>
      </c>
      <c r="K3735" s="3" t="s">
        <v>23</v>
      </c>
    </row>
    <row r="3736" spans="1:11" ht="42" customHeight="1">
      <c r="A3736" s="2" t="s">
        <v>8922</v>
      </c>
      <c r="B3736" s="2" t="s">
        <v>8923</v>
      </c>
      <c r="C3736" s="2" t="s">
        <v>17</v>
      </c>
      <c r="D3736" s="2" t="s">
        <v>18</v>
      </c>
      <c r="E3736" s="5">
        <v>-30032</v>
      </c>
      <c r="F3736" s="3" t="s">
        <v>337</v>
      </c>
      <c r="G3736" s="3" t="s">
        <v>57</v>
      </c>
      <c r="H3736" s="2" t="s">
        <v>21</v>
      </c>
      <c r="I3736" s="2" t="s">
        <v>8935</v>
      </c>
      <c r="J3736" s="3" t="str">
        <f>HYPERLINK("https://www.boe.es/gazeta/dias/1817/10/09/pdfs/GMD-1817-121.pdf#page=6","Abrir facsímil")</f>
        <v>Abrir facsímil</v>
      </c>
      <c r="K3736" s="3" t="s">
        <v>23</v>
      </c>
    </row>
    <row r="3737" spans="1:11" ht="42" customHeight="1">
      <c r="A3737" s="2" t="s">
        <v>8922</v>
      </c>
      <c r="B3737" s="2" t="s">
        <v>8923</v>
      </c>
      <c r="C3737" s="2" t="s">
        <v>17</v>
      </c>
      <c r="D3737" s="2" t="s">
        <v>18</v>
      </c>
      <c r="E3737" s="5">
        <v>-29964</v>
      </c>
      <c r="F3737" s="3" t="s">
        <v>482</v>
      </c>
      <c r="G3737" s="3" t="s">
        <v>8936</v>
      </c>
      <c r="H3737" s="2" t="s">
        <v>21</v>
      </c>
      <c r="I3737" s="2" t="s">
        <v>8937</v>
      </c>
      <c r="J3737" s="3" t="str">
        <f>HYPERLINK("https://www.boe.es/gazeta/dias/1817/12/16/pdfs/GMD-1817-150.pdf#page=10","Abrir facsímil")</f>
        <v>Abrir facsímil</v>
      </c>
      <c r="K3737" s="3" t="s">
        <v>23</v>
      </c>
    </row>
    <row r="3738" spans="1:11" ht="42" customHeight="1">
      <c r="A3738" s="2" t="s">
        <v>8938</v>
      </c>
      <c r="B3738" s="2" t="s">
        <v>8939</v>
      </c>
      <c r="C3738" s="2" t="s">
        <v>43</v>
      </c>
      <c r="D3738" s="2" t="s">
        <v>44</v>
      </c>
      <c r="E3738" s="5">
        <v>-29995</v>
      </c>
      <c r="F3738" s="3" t="s">
        <v>514</v>
      </c>
      <c r="G3738" s="3" t="s">
        <v>1082</v>
      </c>
      <c r="H3738" s="2" t="s">
        <v>21</v>
      </c>
      <c r="I3738" s="2" t="s">
        <v>8940</v>
      </c>
      <c r="J3738" s="3" t="str">
        <f>HYPERLINK("https://www.boe.es/gazeta/dias/1817/11/15/pdfs/GMD-1817-137.pdf#page=5","Abrir facsímil")</f>
        <v>Abrir facsímil</v>
      </c>
      <c r="K3738" s="3" t="s">
        <v>23</v>
      </c>
    </row>
    <row r="3739" spans="1:11" ht="42" customHeight="1">
      <c r="A3739" s="2" t="s">
        <v>8941</v>
      </c>
      <c r="B3739" s="2" t="s">
        <v>8942</v>
      </c>
      <c r="C3739" s="2" t="s">
        <v>43</v>
      </c>
      <c r="D3739" s="2" t="s">
        <v>44</v>
      </c>
      <c r="E3739" s="5">
        <v>-30312</v>
      </c>
      <c r="F3739" s="3" t="s">
        <v>86</v>
      </c>
      <c r="G3739" s="3" t="s">
        <v>39</v>
      </c>
      <c r="H3739" s="2" t="s">
        <v>21</v>
      </c>
      <c r="I3739" s="2" t="s">
        <v>8943</v>
      </c>
      <c r="J3739" s="3" t="str">
        <f>HYPERLINK("https://www.boe.es/gazeta/dias/1817/01/02/pdfs/GMD-1817-1.pdf#page=5","Abrir facsímil")</f>
        <v>Abrir facsímil</v>
      </c>
      <c r="K3739" s="3" t="s">
        <v>23</v>
      </c>
    </row>
    <row r="3740" spans="1:11" ht="42" customHeight="1">
      <c r="A3740" s="2" t="s">
        <v>8941</v>
      </c>
      <c r="B3740" s="2" t="s">
        <v>8942</v>
      </c>
      <c r="C3740" s="2" t="s">
        <v>36</v>
      </c>
      <c r="D3740" s="2" t="s">
        <v>37</v>
      </c>
      <c r="E3740" s="5">
        <v>-30158</v>
      </c>
      <c r="F3740" s="3" t="s">
        <v>305</v>
      </c>
      <c r="G3740" s="3" t="s">
        <v>20</v>
      </c>
      <c r="H3740" s="2" t="s">
        <v>21</v>
      </c>
      <c r="I3740" s="2" t="s">
        <v>8944</v>
      </c>
      <c r="J3740" s="3" t="str">
        <f>HYPERLINK("https://www.boe.es/gazeta/dias/1817/06/05/pdfs/GMD-1817-67.pdf#page=7","Abrir facsímil")</f>
        <v>Abrir facsímil</v>
      </c>
      <c r="K3740" s="3" t="s">
        <v>23</v>
      </c>
    </row>
    <row r="3741" spans="1:11" ht="42" customHeight="1">
      <c r="A3741" s="2" t="s">
        <v>8941</v>
      </c>
      <c r="B3741" s="2" t="s">
        <v>8942</v>
      </c>
      <c r="C3741" s="2" t="s">
        <v>17</v>
      </c>
      <c r="D3741" s="2" t="s">
        <v>18</v>
      </c>
      <c r="E3741" s="5">
        <v>-29953</v>
      </c>
      <c r="F3741" s="3" t="s">
        <v>793</v>
      </c>
      <c r="G3741" s="3" t="s">
        <v>20</v>
      </c>
      <c r="H3741" s="2" t="s">
        <v>21</v>
      </c>
      <c r="I3741" s="2" t="s">
        <v>8945</v>
      </c>
      <c r="J3741" s="3" t="str">
        <f>HYPERLINK("https://www.boe.es/gazeta/dias/1817/12/27/pdfs/GMD-1817-155.pdf#page=7","Abrir facsímil")</f>
        <v>Abrir facsímil</v>
      </c>
      <c r="K3741" s="3" t="s">
        <v>23</v>
      </c>
    </row>
    <row r="3742" spans="1:11" ht="42" customHeight="1">
      <c r="A3742" s="2" t="s">
        <v>8946</v>
      </c>
      <c r="B3742" s="2" t="s">
        <v>8947</v>
      </c>
      <c r="C3742" s="2" t="s">
        <v>36</v>
      </c>
      <c r="D3742" s="2" t="s">
        <v>37</v>
      </c>
      <c r="E3742" s="5">
        <v>-30144</v>
      </c>
      <c r="F3742" s="3" t="s">
        <v>846</v>
      </c>
      <c r="G3742" s="3" t="s">
        <v>57</v>
      </c>
      <c r="H3742" s="2" t="s">
        <v>21</v>
      </c>
      <c r="I3742" s="2" t="s">
        <v>8948</v>
      </c>
      <c r="J3742" s="3" t="str">
        <f>HYPERLINK("https://www.boe.es/gazeta/dias/1817/06/19/pdfs/GMD-1817-73.pdf#page=6","Abrir facsímil")</f>
        <v>Abrir facsímil</v>
      </c>
      <c r="K3742" s="3" t="s">
        <v>23</v>
      </c>
    </row>
    <row r="3743" spans="1:11" ht="42" customHeight="1">
      <c r="A3743" s="2" t="s">
        <v>8949</v>
      </c>
      <c r="B3743" s="2" t="s">
        <v>8950</v>
      </c>
      <c r="C3743" s="2" t="s">
        <v>17</v>
      </c>
      <c r="D3743" s="2" t="s">
        <v>18</v>
      </c>
      <c r="E3743" s="5">
        <v>-29967</v>
      </c>
      <c r="F3743" s="3" t="s">
        <v>183</v>
      </c>
      <c r="G3743" s="3" t="s">
        <v>77</v>
      </c>
      <c r="H3743" s="2" t="s">
        <v>21</v>
      </c>
      <c r="I3743" s="2" t="s">
        <v>8951</v>
      </c>
      <c r="J3743" s="3" t="str">
        <f>HYPERLINK("https://www.boe.es/gazeta/dias/1817/12/13/pdfs/GMD-1817-149.pdf#page=8","Abrir facsímil")</f>
        <v>Abrir facsímil</v>
      </c>
      <c r="K3743" s="3" t="s">
        <v>23</v>
      </c>
    </row>
    <row r="3744" spans="1:11" ht="42" customHeight="1">
      <c r="A3744" s="2" t="s">
        <v>8952</v>
      </c>
      <c r="B3744" s="2" t="s">
        <v>8953</v>
      </c>
      <c r="C3744" s="2" t="s">
        <v>36</v>
      </c>
      <c r="D3744" s="2" t="s">
        <v>37</v>
      </c>
      <c r="E3744" s="5">
        <v>-30128</v>
      </c>
      <c r="F3744" s="3" t="s">
        <v>761</v>
      </c>
      <c r="G3744" s="3" t="s">
        <v>20</v>
      </c>
      <c r="H3744" s="2" t="s">
        <v>21</v>
      </c>
      <c r="I3744" s="2" t="s">
        <v>8954</v>
      </c>
      <c r="J3744" s="3" t="str">
        <f>HYPERLINK("https://www.boe.es/gazeta/dias/1817/07/05/pdfs/GMD-1817-80.pdf#page=7","Abrir facsímil")</f>
        <v>Abrir facsímil</v>
      </c>
      <c r="K3744" s="3" t="s">
        <v>23</v>
      </c>
    </row>
    <row r="3745" spans="1:11" ht="42" customHeight="1">
      <c r="A3745" s="2" t="s">
        <v>8955</v>
      </c>
      <c r="B3745" s="2" t="s">
        <v>8956</v>
      </c>
      <c r="C3745" s="2" t="s">
        <v>17</v>
      </c>
      <c r="D3745" s="2" t="s">
        <v>18</v>
      </c>
      <c r="E3745" s="5">
        <v>-30037</v>
      </c>
      <c r="F3745" s="3" t="s">
        <v>453</v>
      </c>
      <c r="G3745" s="3" t="s">
        <v>77</v>
      </c>
      <c r="H3745" s="2" t="s">
        <v>21</v>
      </c>
      <c r="I3745" s="2" t="s">
        <v>8957</v>
      </c>
      <c r="J3745" s="3" t="str">
        <f>HYPERLINK("https://www.boe.es/gazeta/dias/1817/10/04/pdfs/GMD-1817-119.pdf#page=8","Abrir facsímil")</f>
        <v>Abrir facsímil</v>
      </c>
      <c r="K3745" s="3" t="s">
        <v>23</v>
      </c>
    </row>
    <row r="3746" spans="1:11" ht="42" customHeight="1">
      <c r="A3746" s="2" t="s">
        <v>8958</v>
      </c>
      <c r="B3746" s="2" t="s">
        <v>8959</v>
      </c>
      <c r="C3746" s="2" t="s">
        <v>36</v>
      </c>
      <c r="D3746" s="2" t="s">
        <v>37</v>
      </c>
      <c r="E3746" s="5">
        <v>-30011</v>
      </c>
      <c r="F3746" s="3" t="s">
        <v>313</v>
      </c>
      <c r="G3746" s="3" t="s">
        <v>1736</v>
      </c>
      <c r="H3746" s="2" t="s">
        <v>21</v>
      </c>
      <c r="I3746" s="2" t="s">
        <v>8960</v>
      </c>
      <c r="J3746" s="3" t="str">
        <f>HYPERLINK("https://www.boe.es/gazeta/dias/1817/10/30/pdfs/GMD-1817-130.pdf#page=11","Abrir facsímil")</f>
        <v>Abrir facsímil</v>
      </c>
      <c r="K3746" s="3" t="s">
        <v>23</v>
      </c>
    </row>
    <row r="3747" spans="1:11" ht="42" customHeight="1">
      <c r="A3747" s="2" t="s">
        <v>8961</v>
      </c>
      <c r="B3747" s="2" t="s">
        <v>8962</v>
      </c>
      <c r="C3747" s="2" t="s">
        <v>36</v>
      </c>
      <c r="D3747" s="2" t="s">
        <v>37</v>
      </c>
      <c r="E3747" s="5">
        <v>-30011</v>
      </c>
      <c r="F3747" s="3" t="s">
        <v>313</v>
      </c>
      <c r="G3747" s="3" t="s">
        <v>314</v>
      </c>
      <c r="H3747" s="2" t="s">
        <v>21</v>
      </c>
      <c r="I3747" s="2" t="s">
        <v>8963</v>
      </c>
      <c r="J3747" s="3" t="str">
        <f>HYPERLINK("https://www.boe.es/gazeta/dias/1817/10/30/pdfs/GMD-1817-130.pdf#page=10","Abrir facsímil")</f>
        <v>Abrir facsímil</v>
      </c>
      <c r="K3747" s="3" t="s">
        <v>23</v>
      </c>
    </row>
    <row r="3748" spans="1:11" ht="42" customHeight="1">
      <c r="A3748" s="2" t="s">
        <v>8964</v>
      </c>
      <c r="B3748" s="2" t="s">
        <v>8965</v>
      </c>
      <c r="C3748" s="2" t="s">
        <v>49</v>
      </c>
      <c r="D3748" s="2" t="s">
        <v>44</v>
      </c>
      <c r="E3748" s="5">
        <v>-29990</v>
      </c>
      <c r="F3748" s="3" t="s">
        <v>542</v>
      </c>
      <c r="G3748" s="3" t="s">
        <v>77</v>
      </c>
      <c r="H3748" s="2" t="s">
        <v>21</v>
      </c>
      <c r="I3748" s="2" t="s">
        <v>8966</v>
      </c>
      <c r="J3748" s="3" t="str">
        <f>HYPERLINK("https://www.boe.es/gazeta/dias/1817/11/20/pdfs/GMD-1817-139.pdf#page=8","Abrir facsímil")</f>
        <v>Abrir facsímil</v>
      </c>
      <c r="K3748" s="3" t="s">
        <v>23</v>
      </c>
    </row>
    <row r="3749" spans="1:11" ht="42" customHeight="1">
      <c r="A3749" s="2" t="s">
        <v>8967</v>
      </c>
      <c r="B3749" s="2" t="s">
        <v>8967</v>
      </c>
      <c r="C3749" s="2" t="s">
        <v>36</v>
      </c>
      <c r="D3749" s="2" t="s">
        <v>37</v>
      </c>
      <c r="E3749" s="5">
        <v>-30072</v>
      </c>
      <c r="F3749" s="3" t="s">
        <v>442</v>
      </c>
      <c r="G3749" s="3" t="s">
        <v>161</v>
      </c>
      <c r="H3749" s="2" t="s">
        <v>21</v>
      </c>
      <c r="I3749" s="2" t="s">
        <v>8968</v>
      </c>
      <c r="J3749" s="3" t="str">
        <f>HYPERLINK("https://www.boe.es/gazeta/dias/1817/08/30/pdfs/GMD-1817-104.pdf#page=4","Abrir facsímil")</f>
        <v>Abrir facsímil</v>
      </c>
      <c r="K3749" s="3" t="s">
        <v>23</v>
      </c>
    </row>
    <row r="3750" spans="1:11" ht="42" customHeight="1">
      <c r="A3750" s="2" t="s">
        <v>8969</v>
      </c>
      <c r="B3750" s="2" t="s">
        <v>8970</v>
      </c>
      <c r="C3750" s="2" t="s">
        <v>43</v>
      </c>
      <c r="D3750" s="2" t="s">
        <v>44</v>
      </c>
      <c r="E3750" s="5">
        <v>-30307</v>
      </c>
      <c r="F3750" s="3" t="s">
        <v>67</v>
      </c>
      <c r="G3750" s="3" t="s">
        <v>68</v>
      </c>
      <c r="H3750" s="2" t="s">
        <v>27</v>
      </c>
      <c r="I3750" s="2" t="s">
        <v>8971</v>
      </c>
      <c r="J3750" s="3" t="str">
        <f>HYPERLINK("https://www.boe.es/gazeta/dias/1817/01/07/pdfs/GMD-1817-3.pdf#page=8","Abrir facsímil")</f>
        <v>Abrir facsímil</v>
      </c>
      <c r="K3750" s="3" t="s">
        <v>29</v>
      </c>
    </row>
    <row r="3751" spans="1:11" ht="42" customHeight="1">
      <c r="A3751" s="2" t="s">
        <v>8972</v>
      </c>
      <c r="B3751" s="2" t="s">
        <v>8973</v>
      </c>
      <c r="C3751" s="2" t="s">
        <v>49</v>
      </c>
      <c r="D3751" s="2" t="s">
        <v>44</v>
      </c>
      <c r="E3751" s="5">
        <v>-30137</v>
      </c>
      <c r="F3751" s="3" t="s">
        <v>935</v>
      </c>
      <c r="G3751" s="3" t="s">
        <v>20</v>
      </c>
      <c r="H3751" s="2" t="s">
        <v>21</v>
      </c>
      <c r="I3751" s="2" t="s">
        <v>8974</v>
      </c>
      <c r="J3751" s="3" t="str">
        <f>HYPERLINK("https://www.boe.es/gazeta/dias/1817/06/26/pdfs/GMD-1817-76.pdf#page=7","Abrir facsímil")</f>
        <v>Abrir facsímil</v>
      </c>
      <c r="K3751" s="3" t="s">
        <v>23</v>
      </c>
    </row>
    <row r="3752" spans="1:11" ht="42" customHeight="1">
      <c r="A3752" s="2" t="s">
        <v>8975</v>
      </c>
      <c r="B3752" s="2" t="s">
        <v>8976</v>
      </c>
      <c r="C3752" s="2" t="s">
        <v>97</v>
      </c>
      <c r="D3752" s="2" t="s">
        <v>44</v>
      </c>
      <c r="E3752" s="5">
        <v>-30100</v>
      </c>
      <c r="F3752" s="3" t="s">
        <v>436</v>
      </c>
      <c r="G3752" s="3" t="s">
        <v>77</v>
      </c>
      <c r="H3752" s="2" t="s">
        <v>21</v>
      </c>
      <c r="I3752" s="2" t="s">
        <v>8977</v>
      </c>
      <c r="J3752" s="3" t="str">
        <f>HYPERLINK("https://www.boe.es/gazeta/dias/1817/08/02/pdfs/GMD-1817-92.pdf#page=8","Abrir facsímil")</f>
        <v>Abrir facsímil</v>
      </c>
      <c r="K3752" s="3" t="s">
        <v>23</v>
      </c>
    </row>
    <row r="3753" spans="1:11" ht="42" customHeight="1">
      <c r="A3753" s="2" t="s">
        <v>8978</v>
      </c>
      <c r="B3753" s="2" t="s">
        <v>8979</v>
      </c>
      <c r="C3753" s="2" t="s">
        <v>43</v>
      </c>
      <c r="D3753" s="2" t="s">
        <v>44</v>
      </c>
      <c r="E3753" s="5">
        <v>-30233</v>
      </c>
      <c r="F3753" s="3" t="s">
        <v>577</v>
      </c>
      <c r="G3753" s="3" t="s">
        <v>20</v>
      </c>
      <c r="H3753" s="2" t="s">
        <v>21</v>
      </c>
      <c r="I3753" s="2" t="s">
        <v>8980</v>
      </c>
      <c r="J3753" s="3" t="str">
        <f>HYPERLINK("https://www.boe.es/gazeta/dias/1817/03/22/pdfs/GMD-1817-35.pdf#page=7","Abrir facsímil")</f>
        <v>Abrir facsímil</v>
      </c>
      <c r="K3753" s="3" t="s">
        <v>23</v>
      </c>
    </row>
    <row r="3754" spans="1:11" ht="42" customHeight="1">
      <c r="A3754" s="2" t="s">
        <v>8981</v>
      </c>
      <c r="B3754" s="2" t="s">
        <v>8982</v>
      </c>
      <c r="C3754" s="2" t="s">
        <v>36</v>
      </c>
      <c r="D3754" s="2" t="s">
        <v>37</v>
      </c>
      <c r="E3754" s="5">
        <v>-30240</v>
      </c>
      <c r="F3754" s="3" t="s">
        <v>347</v>
      </c>
      <c r="G3754" s="3" t="s">
        <v>20</v>
      </c>
      <c r="H3754" s="2" t="s">
        <v>21</v>
      </c>
      <c r="I3754" s="2" t="s">
        <v>8983</v>
      </c>
      <c r="J3754" s="3" t="str">
        <f>HYPERLINK("https://www.boe.es/gazeta/dias/1817/03/15/pdfs/GMD-1817-32.pdf#page=7","Abrir facsímil")</f>
        <v>Abrir facsímil</v>
      </c>
      <c r="K3754" s="3" t="s">
        <v>23</v>
      </c>
    </row>
    <row r="3755" spans="1:11" ht="42" customHeight="1">
      <c r="A3755" s="2" t="s">
        <v>8984</v>
      </c>
      <c r="B3755" s="2" t="s">
        <v>8985</v>
      </c>
      <c r="C3755" s="2" t="s">
        <v>55</v>
      </c>
      <c r="D3755" s="2" t="s">
        <v>44</v>
      </c>
      <c r="E3755" s="5">
        <v>-30296</v>
      </c>
      <c r="F3755" s="3" t="s">
        <v>357</v>
      </c>
      <c r="G3755" s="3" t="s">
        <v>82</v>
      </c>
      <c r="H3755" s="2" t="s">
        <v>27</v>
      </c>
      <c r="I3755" s="2" t="s">
        <v>8986</v>
      </c>
      <c r="J3755" s="3" t="str">
        <f>HYPERLINK("https://www.boe.es/gazeta/dias/1817/01/18/pdfs/GMD-1817-8.pdf#page=12","Abrir facsímil")</f>
        <v>Abrir facsímil</v>
      </c>
      <c r="K3755" s="3" t="s">
        <v>29</v>
      </c>
    </row>
    <row r="3756" spans="1:11" ht="42" customHeight="1">
      <c r="A3756" s="2" t="s">
        <v>8987</v>
      </c>
      <c r="B3756" s="2" t="s">
        <v>8988</v>
      </c>
      <c r="C3756" s="2" t="s">
        <v>36</v>
      </c>
      <c r="D3756" s="2" t="s">
        <v>37</v>
      </c>
      <c r="E3756" s="5">
        <v>-30062</v>
      </c>
      <c r="F3756" s="3" t="s">
        <v>444</v>
      </c>
      <c r="G3756" s="3" t="s">
        <v>39</v>
      </c>
      <c r="H3756" s="2" t="s">
        <v>21</v>
      </c>
      <c r="I3756" s="2" t="s">
        <v>8989</v>
      </c>
      <c r="J3756" s="3" t="str">
        <f>HYPERLINK("https://www.boe.es/gazeta/dias/1817/09/09/pdfs/GMD-1817-108.pdf#page=5","Abrir facsímil")</f>
        <v>Abrir facsímil</v>
      </c>
      <c r="K3756" s="3" t="s">
        <v>23</v>
      </c>
    </row>
    <row r="3757" spans="1:11" ht="42" customHeight="1">
      <c r="A3757" s="2" t="s">
        <v>8990</v>
      </c>
      <c r="B3757" s="2" t="s">
        <v>8991</v>
      </c>
      <c r="C3757" s="2" t="s">
        <v>36</v>
      </c>
      <c r="D3757" s="2" t="s">
        <v>37</v>
      </c>
      <c r="E3757" s="5">
        <v>-30062</v>
      </c>
      <c r="F3757" s="3" t="s">
        <v>444</v>
      </c>
      <c r="G3757" s="3" t="s">
        <v>144</v>
      </c>
      <c r="H3757" s="2" t="s">
        <v>21</v>
      </c>
      <c r="I3757" s="2" t="s">
        <v>8992</v>
      </c>
      <c r="J3757" s="3" t="str">
        <f>HYPERLINK("https://www.boe.es/gazeta/dias/1817/09/09/pdfs/GMD-1817-108.pdf#page=4","Abrir facsímil")</f>
        <v>Abrir facsímil</v>
      </c>
      <c r="K3757" s="3" t="s">
        <v>23</v>
      </c>
    </row>
    <row r="3758" spans="1:11" ht="42" customHeight="1">
      <c r="A3758" s="2" t="s">
        <v>8993</v>
      </c>
      <c r="B3758" s="2" t="s">
        <v>8994</v>
      </c>
      <c r="C3758" s="2" t="s">
        <v>138</v>
      </c>
      <c r="D3758" s="2" t="s">
        <v>44</v>
      </c>
      <c r="E3758" s="5">
        <v>-30181</v>
      </c>
      <c r="F3758" s="3" t="s">
        <v>3337</v>
      </c>
      <c r="G3758" s="3" t="s">
        <v>4311</v>
      </c>
      <c r="H3758" s="2" t="s">
        <v>21</v>
      </c>
      <c r="I3758" s="2" t="s">
        <v>8995</v>
      </c>
      <c r="J3758" s="3" t="str">
        <f>HYPERLINK("https://www.boe.es/gazeta/dias/1817/05/13/pdfs/GMD-1817-57.pdf#page=8","Abrir facsímil")</f>
        <v>Abrir facsímil</v>
      </c>
      <c r="K3758" s="3" t="s">
        <v>23</v>
      </c>
    </row>
    <row r="3759" spans="1:11" ht="42" customHeight="1">
      <c r="A3759" s="2" t="s">
        <v>8996</v>
      </c>
      <c r="B3759" s="2" t="s">
        <v>8997</v>
      </c>
      <c r="C3759" s="2" t="s">
        <v>36</v>
      </c>
      <c r="D3759" s="2" t="s">
        <v>37</v>
      </c>
      <c r="E3759" s="5">
        <v>-30242</v>
      </c>
      <c r="F3759" s="3" t="s">
        <v>62</v>
      </c>
      <c r="G3759" s="3" t="s">
        <v>72</v>
      </c>
      <c r="H3759" s="2" t="s">
        <v>21</v>
      </c>
      <c r="I3759" s="2" t="s">
        <v>8998</v>
      </c>
      <c r="J3759" s="3" t="str">
        <f>HYPERLINK("https://www.boe.es/gazeta/dias/1817/03/13/pdfs/GMD-1817-31.pdf#page=1","Abrir facsímil")</f>
        <v>Abrir facsímil</v>
      </c>
      <c r="K3759" s="3" t="s">
        <v>23</v>
      </c>
    </row>
    <row r="3760" spans="1:11" ht="42" customHeight="1">
      <c r="A3760" s="2" t="s">
        <v>8999</v>
      </c>
      <c r="B3760" s="2" t="s">
        <v>9000</v>
      </c>
      <c r="C3760" s="2" t="s">
        <v>36</v>
      </c>
      <c r="D3760" s="2" t="s">
        <v>37</v>
      </c>
      <c r="E3760" s="5">
        <v>-30139</v>
      </c>
      <c r="F3760" s="3" t="s">
        <v>993</v>
      </c>
      <c r="G3760" s="3" t="s">
        <v>1053</v>
      </c>
      <c r="H3760" s="2" t="s">
        <v>21</v>
      </c>
      <c r="I3760" s="2" t="s">
        <v>9001</v>
      </c>
      <c r="J3760" s="3" t="str">
        <f>HYPERLINK("https://www.boe.es/gazeta/dias/1817/06/24/pdfs/GMD-1817-75.pdf#page=4","Abrir facsímil")</f>
        <v>Abrir facsímil</v>
      </c>
      <c r="K3760" s="3" t="s">
        <v>23</v>
      </c>
    </row>
    <row r="3761" spans="1:11" ht="42" customHeight="1">
      <c r="A3761" s="2" t="s">
        <v>9002</v>
      </c>
      <c r="B3761" s="2" t="s">
        <v>9003</v>
      </c>
      <c r="C3761" s="2" t="s">
        <v>36</v>
      </c>
      <c r="D3761" s="2" t="s">
        <v>37</v>
      </c>
      <c r="E3761" s="5">
        <v>-29983</v>
      </c>
      <c r="F3761" s="3" t="s">
        <v>148</v>
      </c>
      <c r="G3761" s="3" t="s">
        <v>654</v>
      </c>
      <c r="H3761" s="2" t="s">
        <v>21</v>
      </c>
      <c r="I3761" s="2" t="s">
        <v>9004</v>
      </c>
      <c r="J3761" s="3" t="str">
        <f>HYPERLINK("https://www.boe.es/gazeta/dias/1817/11/27/pdfs/GMD-1817-142.pdf#page=4","Abrir facsímil")</f>
        <v>Abrir facsímil</v>
      </c>
      <c r="K3761" s="3" t="s">
        <v>23</v>
      </c>
    </row>
    <row r="3762" spans="1:11" ht="42" customHeight="1">
      <c r="A3762" s="2" t="s">
        <v>9005</v>
      </c>
      <c r="B3762" s="2" t="s">
        <v>9006</v>
      </c>
      <c r="C3762" s="2" t="s">
        <v>36</v>
      </c>
      <c r="D3762" s="2" t="s">
        <v>37</v>
      </c>
      <c r="E3762" s="5">
        <v>-29953</v>
      </c>
      <c r="F3762" s="3" t="s">
        <v>793</v>
      </c>
      <c r="G3762" s="3" t="s">
        <v>794</v>
      </c>
      <c r="H3762" s="2" t="s">
        <v>21</v>
      </c>
      <c r="I3762" s="2" t="s">
        <v>9007</v>
      </c>
      <c r="J3762" s="3" t="str">
        <f>HYPERLINK("https://www.boe.es/gazeta/dias/1817/12/27/pdfs/GMD-1817-155.pdf#page=8","Abrir facsímil")</f>
        <v>Abrir facsímil</v>
      </c>
      <c r="K3762" s="3" t="s">
        <v>23</v>
      </c>
    </row>
    <row r="3763" spans="1:11" ht="42" customHeight="1">
      <c r="A3763" s="2" t="s">
        <v>9008</v>
      </c>
      <c r="B3763" s="2" t="s">
        <v>9009</v>
      </c>
      <c r="C3763" s="2" t="s">
        <v>36</v>
      </c>
      <c r="D3763" s="2" t="s">
        <v>37</v>
      </c>
      <c r="E3763" s="5">
        <v>-29988</v>
      </c>
      <c r="F3763" s="3" t="s">
        <v>569</v>
      </c>
      <c r="G3763" s="3" t="s">
        <v>57</v>
      </c>
      <c r="H3763" s="2" t="s">
        <v>21</v>
      </c>
      <c r="I3763" s="2" t="s">
        <v>9010</v>
      </c>
      <c r="J3763" s="3" t="str">
        <f>HYPERLINK("https://www.boe.es/gazeta/dias/1817/11/22/pdfs/GMD-1817-140.pdf#page=6","Abrir facsímil")</f>
        <v>Abrir facsímil</v>
      </c>
      <c r="K3763" s="3" t="s">
        <v>23</v>
      </c>
    </row>
    <row r="3764" spans="1:11" ht="42" customHeight="1">
      <c r="A3764" s="2" t="s">
        <v>9011</v>
      </c>
      <c r="B3764" s="2" t="s">
        <v>9011</v>
      </c>
      <c r="C3764" s="2" t="s">
        <v>36</v>
      </c>
      <c r="D3764" s="2" t="s">
        <v>37</v>
      </c>
      <c r="E3764" s="5">
        <v>-30013</v>
      </c>
      <c r="F3764" s="3" t="s">
        <v>464</v>
      </c>
      <c r="G3764" s="3" t="s">
        <v>72</v>
      </c>
      <c r="H3764" s="2" t="s">
        <v>21</v>
      </c>
      <c r="I3764" s="2" t="s">
        <v>9012</v>
      </c>
      <c r="J3764" s="3" t="str">
        <f>HYPERLINK("https://www.boe.es/gazeta/dias/1817/10/28/pdfs/GMD-1817-129.pdf#page=1","Abrir facsímil")</f>
        <v>Abrir facsímil</v>
      </c>
      <c r="K3764" s="3" t="s">
        <v>23</v>
      </c>
    </row>
    <row r="3765" spans="1:11" ht="42" customHeight="1">
      <c r="A3765" s="2" t="s">
        <v>9013</v>
      </c>
      <c r="B3765" s="2" t="s">
        <v>9014</v>
      </c>
      <c r="C3765" s="2" t="s">
        <v>17</v>
      </c>
      <c r="D3765" s="2" t="s">
        <v>18</v>
      </c>
      <c r="E3765" s="5">
        <v>-30312</v>
      </c>
      <c r="F3765" s="3" t="s">
        <v>86</v>
      </c>
      <c r="G3765" s="3" t="s">
        <v>39</v>
      </c>
      <c r="H3765" s="2" t="s">
        <v>21</v>
      </c>
      <c r="I3765" s="2" t="s">
        <v>9015</v>
      </c>
      <c r="J3765" s="3" t="str">
        <f>HYPERLINK("https://www.boe.es/gazeta/dias/1817/01/02/pdfs/GMD-1817-1.pdf#page=5","Abrir facsímil")</f>
        <v>Abrir facsímil</v>
      </c>
      <c r="K3765" s="3" t="s">
        <v>23</v>
      </c>
    </row>
    <row r="3766" spans="1:11" ht="42" customHeight="1">
      <c r="A3766" s="2" t="s">
        <v>9016</v>
      </c>
      <c r="B3766" s="2" t="s">
        <v>9017</v>
      </c>
      <c r="C3766" s="2" t="s">
        <v>49</v>
      </c>
      <c r="D3766" s="2" t="s">
        <v>44</v>
      </c>
      <c r="E3766" s="5">
        <v>-29967</v>
      </c>
      <c r="F3766" s="3" t="s">
        <v>183</v>
      </c>
      <c r="G3766" s="3" t="s">
        <v>20</v>
      </c>
      <c r="H3766" s="2" t="s">
        <v>21</v>
      </c>
      <c r="I3766" s="2" t="s">
        <v>9018</v>
      </c>
      <c r="J3766" s="3" t="str">
        <f>HYPERLINK("https://www.boe.es/gazeta/dias/1817/12/13/pdfs/GMD-1817-149.pdf#page=7","Abrir facsímil")</f>
        <v>Abrir facsímil</v>
      </c>
      <c r="K3766" s="3" t="s">
        <v>23</v>
      </c>
    </row>
    <row r="3767" spans="1:11" ht="42" customHeight="1">
      <c r="A3767" s="2" t="s">
        <v>9019</v>
      </c>
      <c r="B3767" s="2" t="s">
        <v>9020</v>
      </c>
      <c r="C3767" s="2" t="s">
        <v>36</v>
      </c>
      <c r="D3767" s="2" t="s">
        <v>37</v>
      </c>
      <c r="E3767" s="5">
        <v>-30195</v>
      </c>
      <c r="F3767" s="3" t="s">
        <v>1163</v>
      </c>
      <c r="G3767" s="3" t="s">
        <v>4945</v>
      </c>
      <c r="H3767" s="2" t="s">
        <v>21</v>
      </c>
      <c r="I3767" s="2" t="s">
        <v>9021</v>
      </c>
      <c r="J3767" s="3" t="str">
        <f>HYPERLINK("https://www.boe.es/gazeta/dias/1817/04/29/pdfs/GMD-1817-51.pdf#page=8","Abrir facsímil")</f>
        <v>Abrir facsímil</v>
      </c>
      <c r="K3767" s="3" t="s">
        <v>23</v>
      </c>
    </row>
    <row r="3768" spans="1:11" ht="42" customHeight="1">
      <c r="A3768" s="2" t="s">
        <v>9022</v>
      </c>
      <c r="B3768" s="2" t="s">
        <v>9022</v>
      </c>
      <c r="C3768" s="2" t="s">
        <v>36</v>
      </c>
      <c r="D3768" s="2" t="s">
        <v>37</v>
      </c>
      <c r="E3768" s="5">
        <v>-30298</v>
      </c>
      <c r="F3768" s="3" t="s">
        <v>489</v>
      </c>
      <c r="G3768" s="3" t="s">
        <v>551</v>
      </c>
      <c r="H3768" s="2" t="s">
        <v>21</v>
      </c>
      <c r="I3768" s="2" t="s">
        <v>9023</v>
      </c>
      <c r="J3768" s="3" t="str">
        <f>HYPERLINK("https://www.boe.es/gazeta/dias/1817/01/16/pdfs/GMD-1817-7.pdf#page=3","Abrir facsímil")</f>
        <v>Abrir facsímil</v>
      </c>
      <c r="K3768" s="3" t="s">
        <v>23</v>
      </c>
    </row>
    <row r="3769" spans="1:11" ht="42" customHeight="1">
      <c r="A3769" s="2" t="s">
        <v>9022</v>
      </c>
      <c r="B3769" s="2" t="s">
        <v>9022</v>
      </c>
      <c r="C3769" s="2" t="s">
        <v>36</v>
      </c>
      <c r="D3769" s="2" t="s">
        <v>37</v>
      </c>
      <c r="E3769" s="5">
        <v>-30228</v>
      </c>
      <c r="F3769" s="3" t="s">
        <v>383</v>
      </c>
      <c r="G3769" s="3" t="s">
        <v>72</v>
      </c>
      <c r="H3769" s="2" t="s">
        <v>21</v>
      </c>
      <c r="I3769" s="2" t="s">
        <v>9024</v>
      </c>
      <c r="J3769" s="3" t="str">
        <f>HYPERLINK("https://www.boe.es/gazeta/dias/1817/03/27/pdfs/GMD-1817-37.pdf#page=1","Abrir facsímil")</f>
        <v>Abrir facsímil</v>
      </c>
      <c r="K3769" s="3" t="s">
        <v>23</v>
      </c>
    </row>
    <row r="3770" spans="1:11" ht="42" customHeight="1">
      <c r="A3770" s="2" t="s">
        <v>9025</v>
      </c>
      <c r="B3770" s="2" t="s">
        <v>9026</v>
      </c>
      <c r="C3770" s="2" t="s">
        <v>55</v>
      </c>
      <c r="D3770" s="2" t="s">
        <v>44</v>
      </c>
      <c r="E3770" s="5">
        <v>-30202</v>
      </c>
      <c r="F3770" s="3" t="s">
        <v>418</v>
      </c>
      <c r="G3770" s="3" t="s">
        <v>9027</v>
      </c>
      <c r="H3770" s="2" t="s">
        <v>21</v>
      </c>
      <c r="I3770" s="2" t="s">
        <v>9028</v>
      </c>
      <c r="J3770" s="3" t="str">
        <f>HYPERLINK("https://www.boe.es/gazeta/dias/1817/04/22/pdfs/GMD-1817-48.pdf#page=5","Abrir facsímil")</f>
        <v>Abrir facsímil</v>
      </c>
      <c r="K3770" s="3" t="s">
        <v>23</v>
      </c>
    </row>
    <row r="3771" spans="1:11" ht="42" customHeight="1">
      <c r="A3771" s="2" t="s">
        <v>9029</v>
      </c>
      <c r="B3771" s="2" t="s">
        <v>9030</v>
      </c>
      <c r="C3771" s="2" t="s">
        <v>49</v>
      </c>
      <c r="D3771" s="2" t="s">
        <v>44</v>
      </c>
      <c r="E3771" s="5">
        <v>-30179</v>
      </c>
      <c r="F3771" s="3" t="s">
        <v>391</v>
      </c>
      <c r="G3771" s="3" t="s">
        <v>20</v>
      </c>
      <c r="H3771" s="2" t="s">
        <v>21</v>
      </c>
      <c r="I3771" s="2" t="s">
        <v>9031</v>
      </c>
      <c r="J3771" s="3" t="str">
        <f>HYPERLINK("https://www.boe.es/gazeta/dias/1817/05/15/pdfs/GMD-1817-58.pdf#page=7","Abrir facsímil")</f>
        <v>Abrir facsímil</v>
      </c>
      <c r="K3771" s="3" t="s">
        <v>23</v>
      </c>
    </row>
    <row r="3772" spans="1:11" ht="42" customHeight="1">
      <c r="A3772" s="2" t="s">
        <v>9032</v>
      </c>
      <c r="B3772" s="2" t="s">
        <v>9033</v>
      </c>
      <c r="C3772" s="2" t="s">
        <v>43</v>
      </c>
      <c r="D3772" s="2" t="s">
        <v>44</v>
      </c>
      <c r="E3772" s="5">
        <v>-30230</v>
      </c>
      <c r="F3772" s="3" t="s">
        <v>189</v>
      </c>
      <c r="G3772" s="3" t="s">
        <v>6617</v>
      </c>
      <c r="H3772" s="2" t="s">
        <v>21</v>
      </c>
      <c r="I3772" s="2" t="s">
        <v>9034</v>
      </c>
      <c r="J3772" s="3" t="str">
        <f>HYPERLINK("https://www.boe.es/gazeta/dias/1817/03/25/pdfs/GMD-1817-36.pdf#page=3","Abrir facsímil")</f>
        <v>Abrir facsímil</v>
      </c>
      <c r="K3772" s="3" t="s">
        <v>23</v>
      </c>
    </row>
    <row r="3773" spans="1:11" ht="42" customHeight="1">
      <c r="A3773" s="2" t="s">
        <v>9035</v>
      </c>
      <c r="B3773" s="2" t="s">
        <v>9036</v>
      </c>
      <c r="C3773" s="2" t="s">
        <v>97</v>
      </c>
      <c r="D3773" s="2" t="s">
        <v>44</v>
      </c>
      <c r="E3773" s="5">
        <v>-29962</v>
      </c>
      <c r="F3773" s="3" t="s">
        <v>485</v>
      </c>
      <c r="G3773" s="3" t="s">
        <v>20</v>
      </c>
      <c r="H3773" s="2" t="s">
        <v>21</v>
      </c>
      <c r="I3773" s="2" t="s">
        <v>9037</v>
      </c>
      <c r="J3773" s="3" t="str">
        <f>HYPERLINK("https://www.boe.es/gazeta/dias/1817/12/18/pdfs/GMD-1817-151.pdf#page=7","Abrir facsímil")</f>
        <v>Abrir facsímil</v>
      </c>
      <c r="K3773" s="3" t="s">
        <v>23</v>
      </c>
    </row>
    <row r="3774" spans="1:11" ht="42" customHeight="1">
      <c r="A3774" s="2" t="s">
        <v>9038</v>
      </c>
      <c r="B3774" s="2" t="s">
        <v>9039</v>
      </c>
      <c r="C3774" s="2" t="s">
        <v>36</v>
      </c>
      <c r="D3774" s="2" t="s">
        <v>37</v>
      </c>
      <c r="E3774" s="5">
        <v>-29950</v>
      </c>
      <c r="F3774" s="3" t="s">
        <v>185</v>
      </c>
      <c r="G3774" s="3" t="s">
        <v>57</v>
      </c>
      <c r="H3774" s="2" t="s">
        <v>21</v>
      </c>
      <c r="I3774" s="2" t="s">
        <v>9040</v>
      </c>
      <c r="J3774" s="3" t="str">
        <f>HYPERLINK("https://www.boe.es/gazeta/dias/1817/12/30/pdfs/GMD-1817-156.pdf#page=6","Abrir facsímil")</f>
        <v>Abrir facsímil</v>
      </c>
      <c r="K3774" s="3" t="s">
        <v>23</v>
      </c>
    </row>
    <row r="3775" spans="1:11" ht="42" customHeight="1">
      <c r="A3775" s="2" t="s">
        <v>9041</v>
      </c>
      <c r="B3775" s="2" t="s">
        <v>9042</v>
      </c>
      <c r="C3775" s="2" t="s">
        <v>55</v>
      </c>
      <c r="D3775" s="2" t="s">
        <v>44</v>
      </c>
      <c r="E3775" s="5">
        <v>-30184</v>
      </c>
      <c r="F3775" s="3" t="s">
        <v>423</v>
      </c>
      <c r="G3775" s="3" t="s">
        <v>77</v>
      </c>
      <c r="H3775" s="2" t="s">
        <v>21</v>
      </c>
      <c r="I3775" s="2" t="s">
        <v>9043</v>
      </c>
      <c r="J3775" s="3" t="str">
        <f>HYPERLINK("https://www.boe.es/gazeta/dias/1817/05/10/pdfs/GMD-1817-56.pdf#page=8","Abrir facsímil")</f>
        <v>Abrir facsímil</v>
      </c>
      <c r="K3775" s="3" t="s">
        <v>23</v>
      </c>
    </row>
    <row r="3776" spans="1:11" ht="42" customHeight="1">
      <c r="A3776" s="2" t="s">
        <v>9044</v>
      </c>
      <c r="B3776" s="2" t="s">
        <v>9045</v>
      </c>
      <c r="C3776" s="2" t="s">
        <v>49</v>
      </c>
      <c r="D3776" s="2" t="s">
        <v>44</v>
      </c>
      <c r="E3776" s="5">
        <v>-29992</v>
      </c>
      <c r="F3776" s="3" t="s">
        <v>50</v>
      </c>
      <c r="G3776" s="3" t="s">
        <v>51</v>
      </c>
      <c r="H3776" s="2" t="s">
        <v>21</v>
      </c>
      <c r="I3776" s="2" t="s">
        <v>9046</v>
      </c>
      <c r="J3776" s="3" t="str">
        <f>HYPERLINK("https://www.boe.es/gazeta/dias/1817/11/18/pdfs/GMD-1817-138.pdf#page=8","Abrir facsímil")</f>
        <v>Abrir facsímil</v>
      </c>
      <c r="K3776" s="3" t="s">
        <v>23</v>
      </c>
    </row>
    <row r="3777" spans="1:11" ht="42" customHeight="1">
      <c r="A3777" s="2" t="s">
        <v>9047</v>
      </c>
      <c r="B3777" s="2" t="s">
        <v>9048</v>
      </c>
      <c r="C3777" s="2" t="s">
        <v>138</v>
      </c>
      <c r="D3777" s="2" t="s">
        <v>44</v>
      </c>
      <c r="E3777" s="5">
        <v>-30069</v>
      </c>
      <c r="F3777" s="3" t="s">
        <v>817</v>
      </c>
      <c r="G3777" s="3" t="s">
        <v>818</v>
      </c>
      <c r="H3777" s="2" t="s">
        <v>21</v>
      </c>
      <c r="I3777" s="2" t="s">
        <v>9049</v>
      </c>
      <c r="J3777" s="3" t="str">
        <f>HYPERLINK("https://www.boe.es/gazeta/dias/1817/09/02/pdfs/GMD-1817-105.pdf#page=8","Abrir facsímil")</f>
        <v>Abrir facsímil</v>
      </c>
      <c r="K3777" s="3" t="s">
        <v>23</v>
      </c>
    </row>
    <row r="3778" spans="1:11" ht="42" customHeight="1">
      <c r="A3778" s="2" t="s">
        <v>9050</v>
      </c>
      <c r="B3778" s="2" t="s">
        <v>9051</v>
      </c>
      <c r="C3778" s="2" t="s">
        <v>43</v>
      </c>
      <c r="D3778" s="2" t="s">
        <v>44</v>
      </c>
      <c r="E3778" s="5">
        <v>-30265</v>
      </c>
      <c r="F3778" s="3" t="s">
        <v>107</v>
      </c>
      <c r="G3778" s="3" t="s">
        <v>997</v>
      </c>
      <c r="H3778" s="2" t="s">
        <v>21</v>
      </c>
      <c r="I3778" s="2" t="s">
        <v>9052</v>
      </c>
      <c r="J3778" s="3" t="str">
        <f>HYPERLINK("https://www.boe.es/gazeta/dias/1817/02/18/pdfs/GMD-1817-21.pdf#page=5","Abrir facsímil")</f>
        <v>Abrir facsímil</v>
      </c>
      <c r="K3778" s="3" t="s">
        <v>23</v>
      </c>
    </row>
    <row r="3779" spans="1:11" ht="42" customHeight="1">
      <c r="A3779" s="2" t="s">
        <v>9053</v>
      </c>
      <c r="B3779" s="2" t="s">
        <v>9054</v>
      </c>
      <c r="C3779" s="2" t="s">
        <v>36</v>
      </c>
      <c r="D3779" s="2" t="s">
        <v>37</v>
      </c>
      <c r="E3779" s="5">
        <v>-30235</v>
      </c>
      <c r="F3779" s="3" t="s">
        <v>398</v>
      </c>
      <c r="G3779" s="3" t="s">
        <v>20</v>
      </c>
      <c r="H3779" s="2" t="s">
        <v>21</v>
      </c>
      <c r="I3779" s="2" t="s">
        <v>9055</v>
      </c>
      <c r="J3779" s="3" t="str">
        <f>HYPERLINK("https://www.boe.es/gazeta/dias/1817/03/20/pdfs/GMD-1817-34.pdf#page=7","Abrir facsímil")</f>
        <v>Abrir facsímil</v>
      </c>
      <c r="K3779" s="3" t="s">
        <v>23</v>
      </c>
    </row>
    <row r="3780" spans="1:11" ht="42" customHeight="1">
      <c r="A3780" s="2" t="s">
        <v>9056</v>
      </c>
      <c r="B3780" s="2" t="s">
        <v>9057</v>
      </c>
      <c r="C3780" s="2" t="s">
        <v>36</v>
      </c>
      <c r="D3780" s="2" t="s">
        <v>37</v>
      </c>
      <c r="E3780" s="5">
        <v>-30104</v>
      </c>
      <c r="F3780" s="3" t="s">
        <v>856</v>
      </c>
      <c r="G3780" s="3" t="s">
        <v>20</v>
      </c>
      <c r="H3780" s="2" t="s">
        <v>21</v>
      </c>
      <c r="I3780" s="2" t="s">
        <v>9058</v>
      </c>
      <c r="J3780" s="3" t="str">
        <f>HYPERLINK("https://www.boe.es/gazeta/dias/1817/07/29/pdfs/GMD-1817-90.pdf#page=7","Abrir facsímil")</f>
        <v>Abrir facsímil</v>
      </c>
      <c r="K3780" s="3" t="s">
        <v>23</v>
      </c>
    </row>
    <row r="3781" spans="1:11" ht="42" customHeight="1">
      <c r="A3781" s="2" t="s">
        <v>9059</v>
      </c>
      <c r="B3781" s="2" t="s">
        <v>9059</v>
      </c>
      <c r="C3781" s="2" t="s">
        <v>43</v>
      </c>
      <c r="D3781" s="2" t="s">
        <v>44</v>
      </c>
      <c r="E3781" s="5">
        <v>-29999</v>
      </c>
      <c r="F3781" s="3" t="s">
        <v>471</v>
      </c>
      <c r="G3781" s="3" t="s">
        <v>72</v>
      </c>
      <c r="H3781" s="2" t="s">
        <v>21</v>
      </c>
      <c r="I3781" s="2" t="s">
        <v>9060</v>
      </c>
      <c r="J3781" s="3" t="str">
        <f>HYPERLINK("https://www.boe.es/gazeta/dias/1817/11/11/pdfs/GMD-1817-135.pdf#page=1","Abrir facsímil")</f>
        <v>Abrir facsímil</v>
      </c>
      <c r="K3781" s="3" t="s">
        <v>23</v>
      </c>
    </row>
    <row r="3782" spans="1:11" ht="42" customHeight="1">
      <c r="A3782" s="2" t="s">
        <v>9061</v>
      </c>
      <c r="B3782" s="2" t="s">
        <v>9062</v>
      </c>
      <c r="C3782" s="2" t="s">
        <v>49</v>
      </c>
      <c r="D3782" s="2" t="s">
        <v>44</v>
      </c>
      <c r="E3782" s="5">
        <v>-30048</v>
      </c>
      <c r="F3782" s="3" t="s">
        <v>573</v>
      </c>
      <c r="G3782" s="3" t="s">
        <v>77</v>
      </c>
      <c r="H3782" s="2" t="s">
        <v>21</v>
      </c>
      <c r="I3782" s="2" t="s">
        <v>9063</v>
      </c>
      <c r="J3782" s="3" t="str">
        <f>HYPERLINK("https://www.boe.es/gazeta/dias/1817/09/23/pdfs/GMD-1817-114.pdf#page=8","Abrir facsímil")</f>
        <v>Abrir facsímil</v>
      </c>
      <c r="K3782" s="3" t="s">
        <v>23</v>
      </c>
    </row>
    <row r="3783" spans="1:11" ht="42" customHeight="1">
      <c r="A3783" s="2" t="s">
        <v>9064</v>
      </c>
      <c r="B3783" s="2" t="s">
        <v>9065</v>
      </c>
      <c r="C3783" s="2" t="s">
        <v>17</v>
      </c>
      <c r="D3783" s="2" t="s">
        <v>18</v>
      </c>
      <c r="E3783" s="5">
        <v>-30268</v>
      </c>
      <c r="F3783" s="3" t="s">
        <v>1160</v>
      </c>
      <c r="G3783" s="3" t="s">
        <v>77</v>
      </c>
      <c r="H3783" s="2" t="s">
        <v>27</v>
      </c>
      <c r="I3783" s="2" t="s">
        <v>9066</v>
      </c>
      <c r="J3783" s="3" t="str">
        <f>HYPERLINK("https://www.boe.es/gazeta/dias/1817/02/15/pdfs/GMD-1817-20.pdf#page=8","Abrir facsímil")</f>
        <v>Abrir facsímil</v>
      </c>
      <c r="K3783" s="3" t="s">
        <v>29</v>
      </c>
    </row>
    <row r="3784" spans="1:11" ht="42" customHeight="1">
      <c r="A3784" s="2" t="s">
        <v>9067</v>
      </c>
      <c r="B3784" s="2" t="s">
        <v>9068</v>
      </c>
      <c r="C3784" s="2" t="s">
        <v>36</v>
      </c>
      <c r="D3784" s="2" t="s">
        <v>37</v>
      </c>
      <c r="E3784" s="5">
        <v>-30167</v>
      </c>
      <c r="F3784" s="3" t="s">
        <v>153</v>
      </c>
      <c r="G3784" s="3" t="s">
        <v>20</v>
      </c>
      <c r="H3784" s="2" t="s">
        <v>21</v>
      </c>
      <c r="I3784" s="2" t="s">
        <v>9069</v>
      </c>
      <c r="J3784" s="3" t="str">
        <f>HYPERLINK("https://www.boe.es/gazeta/dias/1817/05/27/pdfs/GMD-1817-63.pdf#page=7","Abrir facsímil")</f>
        <v>Abrir facsímil</v>
      </c>
      <c r="K3784" s="3" t="s">
        <v>23</v>
      </c>
    </row>
    <row r="3785" spans="1:11" ht="42" customHeight="1">
      <c r="A3785" s="2" t="s">
        <v>9070</v>
      </c>
      <c r="B3785" s="2" t="s">
        <v>9071</v>
      </c>
      <c r="C3785" s="2" t="s">
        <v>43</v>
      </c>
      <c r="D3785" s="2" t="s">
        <v>44</v>
      </c>
      <c r="E3785" s="5">
        <v>-29992</v>
      </c>
      <c r="F3785" s="3" t="s">
        <v>50</v>
      </c>
      <c r="G3785" s="3" t="s">
        <v>51</v>
      </c>
      <c r="H3785" s="2" t="s">
        <v>27</v>
      </c>
      <c r="I3785" s="2" t="s">
        <v>9072</v>
      </c>
      <c r="J3785" s="3" t="str">
        <f>HYPERLINK("https://www.boe.es/gazeta/dias/1817/11/18/pdfs/GMD-1817-138.pdf#page=8","Abrir facsímil")</f>
        <v>Abrir facsímil</v>
      </c>
      <c r="K3785" s="3" t="s">
        <v>29</v>
      </c>
    </row>
    <row r="3786" spans="1:11" ht="42" customHeight="1">
      <c r="A3786" s="2" t="s">
        <v>9073</v>
      </c>
      <c r="B3786" s="2" t="s">
        <v>9074</v>
      </c>
      <c r="C3786" s="2" t="s">
        <v>49</v>
      </c>
      <c r="D3786" s="2" t="s">
        <v>44</v>
      </c>
      <c r="E3786" s="5">
        <v>-29992</v>
      </c>
      <c r="F3786" s="3" t="s">
        <v>50</v>
      </c>
      <c r="G3786" s="3" t="s">
        <v>51</v>
      </c>
      <c r="H3786" s="2" t="s">
        <v>21</v>
      </c>
      <c r="I3786" s="2" t="s">
        <v>9075</v>
      </c>
      <c r="J3786" s="3" t="str">
        <f>HYPERLINK("https://www.boe.es/gazeta/dias/1817/11/18/pdfs/GMD-1817-138.pdf#page=8","Abrir facsímil")</f>
        <v>Abrir facsímil</v>
      </c>
      <c r="K3786" s="3" t="s">
        <v>23</v>
      </c>
    </row>
    <row r="3787" spans="1:11" ht="42" customHeight="1">
      <c r="A3787" s="2" t="s">
        <v>9076</v>
      </c>
      <c r="B3787" s="2" t="s">
        <v>9077</v>
      </c>
      <c r="C3787" s="2" t="s">
        <v>36</v>
      </c>
      <c r="D3787" s="2" t="s">
        <v>37</v>
      </c>
      <c r="E3787" s="5">
        <v>-29983</v>
      </c>
      <c r="F3787" s="3" t="s">
        <v>148</v>
      </c>
      <c r="G3787" s="3" t="s">
        <v>1214</v>
      </c>
      <c r="H3787" s="2" t="s">
        <v>21</v>
      </c>
      <c r="I3787" s="2" t="s">
        <v>9078</v>
      </c>
      <c r="J3787" s="3" t="str">
        <f>HYPERLINK("https://www.boe.es/gazeta/dias/1817/11/27/pdfs/GMD-1817-142.pdf#page=5","Abrir facsímil")</f>
        <v>Abrir facsímil</v>
      </c>
      <c r="K3787" s="3" t="s">
        <v>23</v>
      </c>
    </row>
    <row r="3788" spans="1:11" ht="42" customHeight="1">
      <c r="A3788" s="2" t="s">
        <v>9079</v>
      </c>
      <c r="B3788" s="2" t="s">
        <v>9080</v>
      </c>
      <c r="C3788" s="2" t="s">
        <v>43</v>
      </c>
      <c r="D3788" s="2" t="s">
        <v>44</v>
      </c>
      <c r="E3788" s="5">
        <v>-29967</v>
      </c>
      <c r="F3788" s="3" t="s">
        <v>183</v>
      </c>
      <c r="G3788" s="3" t="s">
        <v>20</v>
      </c>
      <c r="H3788" s="2" t="s">
        <v>21</v>
      </c>
      <c r="I3788" s="2" t="s">
        <v>9081</v>
      </c>
      <c r="J3788" s="3" t="str">
        <f>HYPERLINK("https://www.boe.es/gazeta/dias/1817/12/13/pdfs/GMD-1817-149.pdf#page=7","Abrir facsímil")</f>
        <v>Abrir facsímil</v>
      </c>
      <c r="K3788" s="3" t="s">
        <v>23</v>
      </c>
    </row>
    <row r="3789" spans="1:11" ht="42" customHeight="1">
      <c r="A3789" s="2" t="s">
        <v>9082</v>
      </c>
      <c r="B3789" s="2" t="s">
        <v>9083</v>
      </c>
      <c r="C3789" s="2" t="s">
        <v>138</v>
      </c>
      <c r="D3789" s="2" t="s">
        <v>44</v>
      </c>
      <c r="E3789" s="5">
        <v>-30198</v>
      </c>
      <c r="F3789" s="3" t="s">
        <v>2185</v>
      </c>
      <c r="G3789" s="3" t="s">
        <v>2186</v>
      </c>
      <c r="H3789" s="2" t="s">
        <v>21</v>
      </c>
      <c r="I3789" s="2" t="s">
        <v>9084</v>
      </c>
      <c r="J3789" s="3" t="str">
        <f>HYPERLINK("https://www.boe.es/gazeta/dias/1817/04/26/pdfs/GMD-1817-50.pdf#page=8","Abrir facsímil")</f>
        <v>Abrir facsímil</v>
      </c>
      <c r="K3789" s="3" t="s">
        <v>23</v>
      </c>
    </row>
    <row r="3790" spans="1:11" ht="42" customHeight="1">
      <c r="A3790" s="2" t="s">
        <v>9085</v>
      </c>
      <c r="B3790" s="2" t="s">
        <v>9086</v>
      </c>
      <c r="C3790" s="2" t="s">
        <v>36</v>
      </c>
      <c r="D3790" s="2" t="s">
        <v>37</v>
      </c>
      <c r="E3790" s="5">
        <v>-30200</v>
      </c>
      <c r="F3790" s="3" t="s">
        <v>725</v>
      </c>
      <c r="G3790" s="3" t="s">
        <v>57</v>
      </c>
      <c r="H3790" s="2" t="s">
        <v>21</v>
      </c>
      <c r="I3790" s="2" t="s">
        <v>9087</v>
      </c>
      <c r="J3790" s="3" t="str">
        <f>HYPERLINK("https://www.boe.es/gazeta/dias/1817/04/24/pdfs/GMD-1817-49.pdf#page=6","Abrir facsímil")</f>
        <v>Abrir facsímil</v>
      </c>
      <c r="K3790" s="3" t="s">
        <v>23</v>
      </c>
    </row>
    <row r="3791" spans="1:11" ht="42" customHeight="1">
      <c r="A3791" s="2" t="s">
        <v>9088</v>
      </c>
      <c r="B3791" s="2" t="s">
        <v>9089</v>
      </c>
      <c r="C3791" s="2" t="s">
        <v>36</v>
      </c>
      <c r="D3791" s="2" t="s">
        <v>37</v>
      </c>
      <c r="E3791" s="5">
        <v>-30027</v>
      </c>
      <c r="F3791" s="3" t="s">
        <v>173</v>
      </c>
      <c r="G3791" s="3" t="s">
        <v>708</v>
      </c>
      <c r="H3791" s="2" t="s">
        <v>21</v>
      </c>
      <c r="I3791" s="2" t="s">
        <v>9090</v>
      </c>
      <c r="J3791" s="3" t="str">
        <f>HYPERLINK("https://www.boe.es/gazeta/dias/1817/10/14/pdfs/GMD-1817-123.pdf#page=6","Abrir facsímil")</f>
        <v>Abrir facsímil</v>
      </c>
      <c r="K3791" s="3" t="s">
        <v>23</v>
      </c>
    </row>
    <row r="3792" spans="1:11" ht="42" customHeight="1">
      <c r="A3792" s="2" t="s">
        <v>9091</v>
      </c>
      <c r="B3792" s="2" t="s">
        <v>9092</v>
      </c>
      <c r="C3792" s="2" t="s">
        <v>36</v>
      </c>
      <c r="D3792" s="2" t="s">
        <v>37</v>
      </c>
      <c r="E3792" s="5">
        <v>-30062</v>
      </c>
      <c r="F3792" s="3" t="s">
        <v>444</v>
      </c>
      <c r="G3792" s="3" t="s">
        <v>691</v>
      </c>
      <c r="H3792" s="2" t="s">
        <v>21</v>
      </c>
      <c r="I3792" s="2" t="s">
        <v>9093</v>
      </c>
      <c r="J3792" s="3" t="str">
        <f>HYPERLINK("https://www.boe.es/gazeta/dias/1817/09/09/pdfs/GMD-1817-108.pdf#page=8","Abrir facsímil")</f>
        <v>Abrir facsímil</v>
      </c>
      <c r="K3792" s="3" t="s">
        <v>23</v>
      </c>
    </row>
    <row r="3793" spans="1:11" ht="42" customHeight="1">
      <c r="A3793" s="2" t="s">
        <v>9094</v>
      </c>
      <c r="B3793" s="2" t="s">
        <v>9095</v>
      </c>
      <c r="C3793" s="2" t="s">
        <v>43</v>
      </c>
      <c r="D3793" s="2" t="s">
        <v>44</v>
      </c>
      <c r="E3793" s="5">
        <v>-30307</v>
      </c>
      <c r="F3793" s="3" t="s">
        <v>67</v>
      </c>
      <c r="G3793" s="3" t="s">
        <v>739</v>
      </c>
      <c r="H3793" s="2" t="s">
        <v>21</v>
      </c>
      <c r="I3793" s="2" t="s">
        <v>9096</v>
      </c>
      <c r="J3793" s="3" t="str">
        <f>HYPERLINK("https://www.boe.es/gazeta/dias/1817/01/07/pdfs/GMD-1817-3.pdf#page=6","Abrir facsímil")</f>
        <v>Abrir facsímil</v>
      </c>
      <c r="K3793" s="3" t="s">
        <v>23</v>
      </c>
    </row>
    <row r="3794" spans="1:11" ht="42" customHeight="1">
      <c r="A3794" s="2" t="s">
        <v>9097</v>
      </c>
      <c r="B3794" s="2" t="s">
        <v>9098</v>
      </c>
      <c r="C3794" s="2" t="s">
        <v>17</v>
      </c>
      <c r="D3794" s="2" t="s">
        <v>18</v>
      </c>
      <c r="E3794" s="5">
        <v>-30277</v>
      </c>
      <c r="F3794" s="3" t="s">
        <v>3822</v>
      </c>
      <c r="G3794" s="3" t="s">
        <v>39</v>
      </c>
      <c r="H3794" s="2" t="s">
        <v>21</v>
      </c>
      <c r="I3794" s="2" t="s">
        <v>9099</v>
      </c>
      <c r="J3794" s="3" t="str">
        <f>HYPERLINK("https://www.boe.es/gazeta/dias/1817/02/06/pdfs/GMD-1817-16.pdf#page=5","Abrir facsímil")</f>
        <v>Abrir facsímil</v>
      </c>
      <c r="K3794" s="3" t="s">
        <v>23</v>
      </c>
    </row>
    <row r="3795" spans="1:11" ht="42" customHeight="1">
      <c r="A3795" s="2" t="s">
        <v>9100</v>
      </c>
      <c r="B3795" s="2" t="s">
        <v>9101</v>
      </c>
      <c r="C3795" s="2" t="s">
        <v>97</v>
      </c>
      <c r="D3795" s="2" t="s">
        <v>44</v>
      </c>
      <c r="E3795" s="5">
        <v>-30195</v>
      </c>
      <c r="F3795" s="3" t="s">
        <v>1163</v>
      </c>
      <c r="G3795" s="3" t="s">
        <v>4945</v>
      </c>
      <c r="H3795" s="2" t="s">
        <v>21</v>
      </c>
      <c r="I3795" s="2" t="s">
        <v>9102</v>
      </c>
      <c r="J3795" s="3" t="str">
        <f>HYPERLINK("https://www.boe.es/gazeta/dias/1817/04/29/pdfs/GMD-1817-51.pdf#page=8","Abrir facsímil")</f>
        <v>Abrir facsímil</v>
      </c>
      <c r="K3795" s="3" t="s">
        <v>23</v>
      </c>
    </row>
    <row r="3796" spans="1:11" ht="42" customHeight="1">
      <c r="A3796" s="2" t="s">
        <v>9103</v>
      </c>
      <c r="B3796" s="2" t="s">
        <v>9104</v>
      </c>
      <c r="C3796" s="2" t="s">
        <v>17</v>
      </c>
      <c r="D3796" s="2" t="s">
        <v>18</v>
      </c>
      <c r="E3796" s="5">
        <v>-30298</v>
      </c>
      <c r="F3796" s="3" t="s">
        <v>489</v>
      </c>
      <c r="G3796" s="3" t="s">
        <v>77</v>
      </c>
      <c r="H3796" s="2" t="s">
        <v>21</v>
      </c>
      <c r="I3796" s="2" t="s">
        <v>9105</v>
      </c>
      <c r="J3796" s="3" t="str">
        <f>HYPERLINK("https://www.boe.es/gazeta/dias/1817/01/16/pdfs/GMD-1817-7.pdf#page=8","Abrir facsímil")</f>
        <v>Abrir facsímil</v>
      </c>
      <c r="K3796" s="3" t="s">
        <v>23</v>
      </c>
    </row>
    <row r="3797" spans="1:11" ht="42" customHeight="1">
      <c r="A3797" s="2" t="s">
        <v>9106</v>
      </c>
      <c r="B3797" s="2" t="s">
        <v>9107</v>
      </c>
      <c r="C3797" s="2" t="s">
        <v>36</v>
      </c>
      <c r="D3797" s="2" t="s">
        <v>37</v>
      </c>
      <c r="E3797" s="5">
        <v>-30109</v>
      </c>
      <c r="F3797" s="3" t="s">
        <v>205</v>
      </c>
      <c r="G3797" s="3" t="s">
        <v>1464</v>
      </c>
      <c r="H3797" s="2" t="s">
        <v>21</v>
      </c>
      <c r="I3797" s="2" t="s">
        <v>9108</v>
      </c>
      <c r="J3797" s="3" t="str">
        <f>HYPERLINK("https://www.boe.es/gazeta/dias/1817/07/24/pdfs/GMD-1817-88.pdf#page=13","Abrir facsímil")</f>
        <v>Abrir facsímil</v>
      </c>
      <c r="K3797" s="3" t="s">
        <v>23</v>
      </c>
    </row>
    <row r="3798" spans="1:11" ht="42" customHeight="1">
      <c r="A3798" s="2" t="s">
        <v>9109</v>
      </c>
      <c r="B3798" s="2" t="s">
        <v>9110</v>
      </c>
      <c r="C3798" s="2" t="s">
        <v>55</v>
      </c>
      <c r="D3798" s="2" t="s">
        <v>44</v>
      </c>
      <c r="E3798" s="5">
        <v>-29978</v>
      </c>
      <c r="F3798" s="3" t="s">
        <v>478</v>
      </c>
      <c r="G3798" s="3" t="s">
        <v>82</v>
      </c>
      <c r="H3798" s="2" t="s">
        <v>27</v>
      </c>
      <c r="I3798" s="2" t="s">
        <v>9111</v>
      </c>
      <c r="J3798" s="3" t="str">
        <f>HYPERLINK("https://www.boe.es/gazeta/dias/1817/12/02/pdfs/GMD-1817-144.pdf#page=12","Abrir facsímil")</f>
        <v>Abrir facsímil</v>
      </c>
      <c r="K3798" s="3" t="s">
        <v>29</v>
      </c>
    </row>
    <row r="3799" spans="1:11" ht="42" customHeight="1">
      <c r="A3799" s="2" t="s">
        <v>9112</v>
      </c>
      <c r="B3799" s="2" t="s">
        <v>9113</v>
      </c>
      <c r="C3799" s="2" t="s">
        <v>36</v>
      </c>
      <c r="D3799" s="2" t="s">
        <v>37</v>
      </c>
      <c r="E3799" s="5">
        <v>-30200</v>
      </c>
      <c r="F3799" s="3" t="s">
        <v>725</v>
      </c>
      <c r="G3799" s="3" t="s">
        <v>57</v>
      </c>
      <c r="H3799" s="2" t="s">
        <v>21</v>
      </c>
      <c r="I3799" s="2" t="s">
        <v>9114</v>
      </c>
      <c r="J3799" s="3" t="str">
        <f>HYPERLINK("https://www.boe.es/gazeta/dias/1817/04/24/pdfs/GMD-1817-49.pdf#page=6","Abrir facsímil")</f>
        <v>Abrir facsímil</v>
      </c>
      <c r="K3799" s="3" t="s">
        <v>23</v>
      </c>
    </row>
    <row r="3800" spans="1:11" ht="42" customHeight="1">
      <c r="A3800" s="2" t="s">
        <v>9115</v>
      </c>
      <c r="B3800" s="2" t="s">
        <v>9115</v>
      </c>
      <c r="C3800" s="2" t="s">
        <v>36</v>
      </c>
      <c r="D3800" s="2" t="s">
        <v>37</v>
      </c>
      <c r="E3800" s="5">
        <v>-30030</v>
      </c>
      <c r="F3800" s="3" t="s">
        <v>508</v>
      </c>
      <c r="G3800" s="3" t="s">
        <v>1518</v>
      </c>
      <c r="H3800" s="2" t="s">
        <v>21</v>
      </c>
      <c r="I3800" s="2" t="s">
        <v>9116</v>
      </c>
      <c r="J3800" s="3" t="str">
        <f>HYPERLINK("https://www.boe.es/gazeta/dias/1817/10/11/pdfs/GMD-1817-122.pdf#page=10","Abrir facsímil")</f>
        <v>Abrir facsímil</v>
      </c>
      <c r="K3800" s="3" t="s">
        <v>23</v>
      </c>
    </row>
    <row r="3801" spans="1:11" ht="42" customHeight="1">
      <c r="A3801" s="2" t="s">
        <v>9117</v>
      </c>
      <c r="B3801" s="2" t="s">
        <v>9118</v>
      </c>
      <c r="C3801" s="2" t="s">
        <v>43</v>
      </c>
      <c r="D3801" s="2" t="s">
        <v>44</v>
      </c>
      <c r="E3801" s="5">
        <v>-30286</v>
      </c>
      <c r="F3801" s="3" t="s">
        <v>354</v>
      </c>
      <c r="G3801" s="3" t="s">
        <v>1580</v>
      </c>
      <c r="H3801" s="2" t="s">
        <v>27</v>
      </c>
      <c r="I3801" s="2" t="s">
        <v>9119</v>
      </c>
      <c r="J3801" s="3" t="str">
        <f>HYPERLINK("https://www.boe.es/gazeta/dias/1817/01/28/pdfs/GMD-1817-12.pdf#page=5","Abrir facsímil")</f>
        <v>Abrir facsímil</v>
      </c>
      <c r="K3801" s="3" t="s">
        <v>29</v>
      </c>
    </row>
    <row r="3802" spans="1:11" ht="42" customHeight="1">
      <c r="A3802" s="2" t="s">
        <v>9120</v>
      </c>
      <c r="B3802" s="2" t="s">
        <v>9121</v>
      </c>
      <c r="C3802" s="2" t="s">
        <v>36</v>
      </c>
      <c r="D3802" s="2" t="s">
        <v>37</v>
      </c>
      <c r="E3802" s="5">
        <v>-30065</v>
      </c>
      <c r="F3802" s="3" t="s">
        <v>201</v>
      </c>
      <c r="G3802" s="3" t="s">
        <v>20</v>
      </c>
      <c r="H3802" s="2" t="s">
        <v>21</v>
      </c>
      <c r="I3802" s="2" t="s">
        <v>9122</v>
      </c>
      <c r="J3802" s="3" t="str">
        <f>HYPERLINK("https://www.boe.es/gazeta/dias/1817/09/06/pdfs/GMD-1817-107.pdf#page=7","Abrir facsímil")</f>
        <v>Abrir facsímil</v>
      </c>
      <c r="K3802" s="3" t="s">
        <v>23</v>
      </c>
    </row>
    <row r="3803" spans="1:11" ht="42" customHeight="1">
      <c r="A3803" s="2" t="s">
        <v>9123</v>
      </c>
      <c r="B3803" s="2" t="s">
        <v>9124</v>
      </c>
      <c r="C3803" s="2" t="s">
        <v>43</v>
      </c>
      <c r="D3803" s="2" t="s">
        <v>44</v>
      </c>
      <c r="E3803" s="5">
        <v>-30149</v>
      </c>
      <c r="F3803" s="3" t="s">
        <v>430</v>
      </c>
      <c r="G3803" s="3" t="s">
        <v>57</v>
      </c>
      <c r="H3803" s="2" t="s">
        <v>21</v>
      </c>
      <c r="I3803" s="2" t="s">
        <v>9125</v>
      </c>
      <c r="J3803" s="3" t="str">
        <f>HYPERLINK("https://www.boe.es/gazeta/dias/1817/06/14/pdfs/GMD-1817-71.pdf#page=6","Abrir facsímil")</f>
        <v>Abrir facsímil</v>
      </c>
      <c r="K3803" s="3" t="s">
        <v>23</v>
      </c>
    </row>
    <row r="3804" spans="1:11" ht="42" customHeight="1">
      <c r="A3804" s="2" t="s">
        <v>9126</v>
      </c>
      <c r="B3804" s="2" t="s">
        <v>9127</v>
      </c>
      <c r="C3804" s="2" t="s">
        <v>43</v>
      </c>
      <c r="D3804" s="2" t="s">
        <v>44</v>
      </c>
      <c r="E3804" s="5">
        <v>-30265</v>
      </c>
      <c r="F3804" s="3" t="s">
        <v>107</v>
      </c>
      <c r="G3804" s="3" t="s">
        <v>997</v>
      </c>
      <c r="H3804" s="2" t="s">
        <v>21</v>
      </c>
      <c r="I3804" s="2" t="s">
        <v>9128</v>
      </c>
      <c r="J3804" s="3" t="str">
        <f>HYPERLINK("https://www.boe.es/gazeta/dias/1817/02/18/pdfs/GMD-1817-21.pdf#page=5","Abrir facsímil")</f>
        <v>Abrir facsímil</v>
      </c>
      <c r="K3804" s="3" t="s">
        <v>23</v>
      </c>
    </row>
    <row r="3805" spans="1:11" ht="42" customHeight="1">
      <c r="A3805" s="2" t="s">
        <v>9129</v>
      </c>
      <c r="B3805" s="2" t="s">
        <v>9130</v>
      </c>
      <c r="C3805" s="2" t="s">
        <v>36</v>
      </c>
      <c r="D3805" s="2" t="s">
        <v>37</v>
      </c>
      <c r="E3805" s="5">
        <v>-30069</v>
      </c>
      <c r="F3805" s="3" t="s">
        <v>817</v>
      </c>
      <c r="G3805" s="3" t="s">
        <v>818</v>
      </c>
      <c r="H3805" s="2" t="s">
        <v>21</v>
      </c>
      <c r="I3805" s="2" t="s">
        <v>9131</v>
      </c>
      <c r="J3805" s="3" t="str">
        <f>HYPERLINK("https://www.boe.es/gazeta/dias/1817/09/02/pdfs/GMD-1817-105.pdf#page=8","Abrir facsímil")</f>
        <v>Abrir facsímil</v>
      </c>
      <c r="K3805" s="3" t="s">
        <v>23</v>
      </c>
    </row>
    <row r="3806" spans="1:11" ht="42" customHeight="1">
      <c r="A3806" s="2" t="s">
        <v>9132</v>
      </c>
      <c r="B3806" s="2" t="s">
        <v>9133</v>
      </c>
      <c r="C3806" s="2" t="s">
        <v>36</v>
      </c>
      <c r="D3806" s="2" t="s">
        <v>37</v>
      </c>
      <c r="E3806" s="5">
        <v>-30261</v>
      </c>
      <c r="F3806" s="3" t="s">
        <v>226</v>
      </c>
      <c r="G3806" s="3" t="s">
        <v>20</v>
      </c>
      <c r="H3806" s="2" t="s">
        <v>21</v>
      </c>
      <c r="I3806" s="2" t="s">
        <v>9134</v>
      </c>
      <c r="J3806" s="3" t="str">
        <f>HYPERLINK("https://www.boe.es/gazeta/dias/1817/02/22/pdfs/GMD-1817-23.pdf#page=7","Abrir facsímil")</f>
        <v>Abrir facsímil</v>
      </c>
      <c r="K3806" s="3" t="s">
        <v>23</v>
      </c>
    </row>
    <row r="3807" spans="1:11" ht="42" customHeight="1">
      <c r="A3807" s="2" t="s">
        <v>9135</v>
      </c>
      <c r="B3807" s="2" t="s">
        <v>9135</v>
      </c>
      <c r="C3807" s="2" t="s">
        <v>97</v>
      </c>
      <c r="D3807" s="2" t="s">
        <v>44</v>
      </c>
      <c r="E3807" s="5">
        <v>-30041</v>
      </c>
      <c r="F3807" s="3" t="s">
        <v>260</v>
      </c>
      <c r="G3807" s="3" t="s">
        <v>20</v>
      </c>
      <c r="H3807" s="2" t="s">
        <v>21</v>
      </c>
      <c r="I3807" s="2" t="s">
        <v>9136</v>
      </c>
      <c r="J3807" s="3" t="str">
        <f>HYPERLINK("https://www.boe.es/gazeta/dias/1817/09/30/pdfs/GMD-1817-117.pdf#page=7","Abrir facsímil")</f>
        <v>Abrir facsímil</v>
      </c>
      <c r="K3807" s="3" t="s">
        <v>23</v>
      </c>
    </row>
    <row r="3808" spans="1:11" ht="42" customHeight="1">
      <c r="A3808" s="2" t="s">
        <v>9137</v>
      </c>
      <c r="B3808" s="2" t="s">
        <v>9138</v>
      </c>
      <c r="C3808" s="2" t="s">
        <v>43</v>
      </c>
      <c r="D3808" s="2" t="s">
        <v>44</v>
      </c>
      <c r="E3808" s="5">
        <v>-30296</v>
      </c>
      <c r="F3808" s="3" t="s">
        <v>357</v>
      </c>
      <c r="G3808" s="3" t="s">
        <v>20</v>
      </c>
      <c r="H3808" s="2" t="s">
        <v>21</v>
      </c>
      <c r="I3808" s="2" t="s">
        <v>9139</v>
      </c>
      <c r="J3808" s="3" t="str">
        <f>HYPERLINK("https://www.boe.es/gazeta/dias/1817/01/18/pdfs/GMD-1817-8.pdf#page=7","Abrir facsímil")</f>
        <v>Abrir facsímil</v>
      </c>
      <c r="K3808" s="3" t="s">
        <v>23</v>
      </c>
    </row>
    <row r="3809" spans="1:11" ht="42" customHeight="1">
      <c r="A3809" s="2" t="s">
        <v>9140</v>
      </c>
      <c r="B3809" s="2" t="s">
        <v>9141</v>
      </c>
      <c r="C3809" s="2" t="s">
        <v>17</v>
      </c>
      <c r="D3809" s="2" t="s">
        <v>18</v>
      </c>
      <c r="E3809" s="5">
        <v>-29983</v>
      </c>
      <c r="F3809" s="3" t="s">
        <v>148</v>
      </c>
      <c r="G3809" s="3" t="s">
        <v>149</v>
      </c>
      <c r="H3809" s="2" t="s">
        <v>21</v>
      </c>
      <c r="I3809" s="2" t="s">
        <v>9142</v>
      </c>
      <c r="J3809" s="3" t="str">
        <f>HYPERLINK("https://www.boe.es/gazeta/dias/1817/11/27/pdfs/GMD-1817-142.pdf#page=8","Abrir facsímil")</f>
        <v>Abrir facsímil</v>
      </c>
      <c r="K3809" s="3" t="s">
        <v>23</v>
      </c>
    </row>
    <row r="3810" spans="1:11" ht="42" customHeight="1">
      <c r="A3810" s="2" t="s">
        <v>9143</v>
      </c>
      <c r="B3810" s="2" t="s">
        <v>9144</v>
      </c>
      <c r="C3810" s="2" t="s">
        <v>17</v>
      </c>
      <c r="D3810" s="2" t="s">
        <v>18</v>
      </c>
      <c r="E3810" s="5">
        <v>-30270</v>
      </c>
      <c r="F3810" s="3" t="s">
        <v>341</v>
      </c>
      <c r="G3810" s="3" t="s">
        <v>144</v>
      </c>
      <c r="H3810" s="2" t="s">
        <v>21</v>
      </c>
      <c r="I3810" s="2" t="s">
        <v>9145</v>
      </c>
      <c r="J3810" s="3" t="str">
        <f>HYPERLINK("https://www.boe.es/gazeta/dias/1817/02/13/pdfs/GMD-1817-19.pdf#page=4","Abrir facsímil")</f>
        <v>Abrir facsímil</v>
      </c>
      <c r="K3810" s="3" t="s">
        <v>23</v>
      </c>
    </row>
    <row r="3811" spans="1:11" ht="42" customHeight="1">
      <c r="A3811" s="2" t="s">
        <v>9146</v>
      </c>
      <c r="B3811" s="2" t="s">
        <v>9147</v>
      </c>
      <c r="C3811" s="2" t="s">
        <v>36</v>
      </c>
      <c r="D3811" s="2" t="s">
        <v>37</v>
      </c>
      <c r="E3811" s="5">
        <v>-30167</v>
      </c>
      <c r="F3811" s="3" t="s">
        <v>153</v>
      </c>
      <c r="G3811" s="3" t="s">
        <v>20</v>
      </c>
      <c r="H3811" s="2" t="s">
        <v>21</v>
      </c>
      <c r="I3811" s="2" t="s">
        <v>9148</v>
      </c>
      <c r="J3811" s="3" t="str">
        <f>HYPERLINK("https://www.boe.es/gazeta/dias/1817/05/27/pdfs/GMD-1817-63.pdf#page=7","Abrir facsímil")</f>
        <v>Abrir facsímil</v>
      </c>
      <c r="K3811" s="3" t="s">
        <v>23</v>
      </c>
    </row>
    <row r="3812" spans="1:11" ht="42" customHeight="1">
      <c r="A3812" s="2" t="s">
        <v>9149</v>
      </c>
      <c r="B3812" s="2" t="s">
        <v>9150</v>
      </c>
      <c r="C3812" s="2" t="s">
        <v>510</v>
      </c>
      <c r="D3812" s="2" t="s">
        <v>44</v>
      </c>
      <c r="E3812" s="5">
        <v>-29988</v>
      </c>
      <c r="F3812" s="3" t="s">
        <v>569</v>
      </c>
      <c r="G3812" s="3" t="s">
        <v>20</v>
      </c>
      <c r="H3812" s="2" t="s">
        <v>21</v>
      </c>
      <c r="I3812" s="2" t="s">
        <v>9151</v>
      </c>
      <c r="J3812" s="3" t="str">
        <f>HYPERLINK("https://www.boe.es/gazeta/dias/1817/11/22/pdfs/GMD-1817-140.pdf#page=7","Abrir facsímil")</f>
        <v>Abrir facsímil</v>
      </c>
      <c r="K3812" s="3" t="s">
        <v>23</v>
      </c>
    </row>
    <row r="3813" spans="1:11" ht="42" customHeight="1">
      <c r="A3813" s="2" t="s">
        <v>9152</v>
      </c>
      <c r="B3813" s="2" t="s">
        <v>9153</v>
      </c>
      <c r="C3813" s="2" t="s">
        <v>43</v>
      </c>
      <c r="D3813" s="2" t="s">
        <v>44</v>
      </c>
      <c r="E3813" s="5">
        <v>-30079</v>
      </c>
      <c r="F3813" s="3" t="s">
        <v>45</v>
      </c>
      <c r="G3813" s="3" t="s">
        <v>39</v>
      </c>
      <c r="H3813" s="2" t="s">
        <v>21</v>
      </c>
      <c r="I3813" s="2" t="s">
        <v>9154</v>
      </c>
      <c r="J3813" s="3" t="str">
        <f>HYPERLINK("https://www.boe.es/gazeta/dias/1817/08/23/pdfs/GMD-1817-101.pdf#page=5","Abrir facsímil")</f>
        <v>Abrir facsímil</v>
      </c>
      <c r="K3813" s="3" t="s">
        <v>23</v>
      </c>
    </row>
    <row r="3814" spans="1:11" ht="42" customHeight="1">
      <c r="A3814" s="2" t="s">
        <v>9155</v>
      </c>
      <c r="B3814" s="2" t="s">
        <v>9156</v>
      </c>
      <c r="C3814" s="2" t="s">
        <v>43</v>
      </c>
      <c r="D3814" s="2" t="s">
        <v>44</v>
      </c>
      <c r="E3814" s="5">
        <v>-30242</v>
      </c>
      <c r="F3814" s="3" t="s">
        <v>62</v>
      </c>
      <c r="G3814" s="3" t="s">
        <v>603</v>
      </c>
      <c r="H3814" s="2" t="s">
        <v>21</v>
      </c>
      <c r="I3814" s="2" t="s">
        <v>9157</v>
      </c>
      <c r="J3814" s="3" t="str">
        <f>HYPERLINK("https://www.boe.es/gazeta/dias/1817/03/13/pdfs/GMD-1817-31.pdf#page=4","Abrir facsímil")</f>
        <v>Abrir facsímil</v>
      </c>
      <c r="K3814" s="3" t="s">
        <v>23</v>
      </c>
    </row>
    <row r="3815" spans="1:11" ht="42" customHeight="1">
      <c r="A3815" s="2" t="s">
        <v>9158</v>
      </c>
      <c r="B3815" s="2" t="s">
        <v>9159</v>
      </c>
      <c r="C3815" s="2" t="s">
        <v>510</v>
      </c>
      <c r="D3815" s="2" t="s">
        <v>44</v>
      </c>
      <c r="E3815" s="5">
        <v>-30060</v>
      </c>
      <c r="F3815" s="3" t="s">
        <v>446</v>
      </c>
      <c r="G3815" s="3" t="s">
        <v>77</v>
      </c>
      <c r="H3815" s="2" t="s">
        <v>21</v>
      </c>
      <c r="I3815" s="2" t="s">
        <v>9160</v>
      </c>
      <c r="J3815" s="3" t="str">
        <f>HYPERLINK("https://www.boe.es/gazeta/dias/1817/09/11/pdfs/GMD-1817-109.pdf#page=8","Abrir facsímil")</f>
        <v>Abrir facsímil</v>
      </c>
      <c r="K3815" s="3" t="s">
        <v>23</v>
      </c>
    </row>
    <row r="3816" spans="1:11" ht="42" customHeight="1">
      <c r="A3816" s="2" t="s">
        <v>9161</v>
      </c>
      <c r="B3816" s="2" t="s">
        <v>9162</v>
      </c>
      <c r="C3816" s="2" t="s">
        <v>36</v>
      </c>
      <c r="D3816" s="2" t="s">
        <v>37</v>
      </c>
      <c r="E3816" s="5">
        <v>-30286</v>
      </c>
      <c r="F3816" s="3" t="s">
        <v>354</v>
      </c>
      <c r="G3816" s="3" t="s">
        <v>20</v>
      </c>
      <c r="H3816" s="2" t="s">
        <v>21</v>
      </c>
      <c r="I3816" s="2" t="s">
        <v>9163</v>
      </c>
      <c r="J3816" s="3" t="str">
        <f>HYPERLINK("https://www.boe.es/gazeta/dias/1817/01/28/pdfs/GMD-1817-12.pdf#page=7","Abrir facsímil")</f>
        <v>Abrir facsímil</v>
      </c>
      <c r="K3816" s="3" t="s">
        <v>23</v>
      </c>
    </row>
    <row r="3817" spans="1:11" ht="42" customHeight="1">
      <c r="A3817" s="2" t="s">
        <v>9164</v>
      </c>
      <c r="B3817" s="2" t="s">
        <v>9165</v>
      </c>
      <c r="C3817" s="2" t="s">
        <v>36</v>
      </c>
      <c r="D3817" s="2" t="s">
        <v>37</v>
      </c>
      <c r="E3817" s="5">
        <v>-30230</v>
      </c>
      <c r="F3817" s="3" t="s">
        <v>189</v>
      </c>
      <c r="G3817" s="3" t="s">
        <v>2911</v>
      </c>
      <c r="H3817" s="2" t="s">
        <v>21</v>
      </c>
      <c r="I3817" s="2" t="s">
        <v>9166</v>
      </c>
      <c r="J3817" s="3" t="str">
        <f>HYPERLINK("https://www.boe.es/gazeta/dias/1817/03/25/pdfs/GMD-1817-36.pdf#page=6","Abrir facsímil")</f>
        <v>Abrir facsímil</v>
      </c>
      <c r="K3817" s="3" t="s">
        <v>23</v>
      </c>
    </row>
    <row r="3818" spans="1:11" ht="42" customHeight="1">
      <c r="A3818" s="2" t="s">
        <v>9167</v>
      </c>
      <c r="B3818" s="2" t="s">
        <v>9168</v>
      </c>
      <c r="C3818" s="2" t="s">
        <v>17</v>
      </c>
      <c r="D3818" s="2" t="s">
        <v>18</v>
      </c>
      <c r="E3818" s="5">
        <v>-30214</v>
      </c>
      <c r="F3818" s="3" t="s">
        <v>631</v>
      </c>
      <c r="G3818" s="3" t="s">
        <v>77</v>
      </c>
      <c r="H3818" s="2" t="s">
        <v>21</v>
      </c>
      <c r="I3818" s="2" t="s">
        <v>9169</v>
      </c>
      <c r="J3818" s="3" t="str">
        <f>HYPERLINK("https://www.boe.es/gazeta/dias/1817/04/10/pdfs/GMD-1817-43.pdf#page=8","Abrir facsímil")</f>
        <v>Abrir facsímil</v>
      </c>
      <c r="K3818" s="3" t="s">
        <v>23</v>
      </c>
    </row>
    <row r="3819" spans="1:11" ht="42" customHeight="1">
      <c r="A3819" s="2" t="s">
        <v>9170</v>
      </c>
      <c r="B3819" s="2" t="s">
        <v>9171</v>
      </c>
      <c r="C3819" s="2" t="s">
        <v>97</v>
      </c>
      <c r="D3819" s="2" t="s">
        <v>44</v>
      </c>
      <c r="E3819" s="5">
        <v>-30156</v>
      </c>
      <c r="F3819" s="3" t="s">
        <v>635</v>
      </c>
      <c r="G3819" s="3" t="s">
        <v>77</v>
      </c>
      <c r="H3819" s="2" t="s">
        <v>21</v>
      </c>
      <c r="I3819" s="2" t="s">
        <v>9172</v>
      </c>
      <c r="J3819" s="3" t="str">
        <f>HYPERLINK("https://www.boe.es/gazeta/dias/1817/06/07/pdfs/GMD-1817-68.pdf#page=8","Abrir facsímil")</f>
        <v>Abrir facsímil</v>
      </c>
      <c r="K3819" s="3" t="s">
        <v>23</v>
      </c>
    </row>
    <row r="3820" spans="1:11" ht="42" customHeight="1">
      <c r="A3820" s="2" t="s">
        <v>9173</v>
      </c>
      <c r="B3820" s="2" t="s">
        <v>9174</v>
      </c>
      <c r="C3820" s="2" t="s">
        <v>36</v>
      </c>
      <c r="D3820" s="2" t="s">
        <v>37</v>
      </c>
      <c r="E3820" s="5">
        <v>-29999</v>
      </c>
      <c r="F3820" s="3" t="s">
        <v>471</v>
      </c>
      <c r="G3820" s="3" t="s">
        <v>6784</v>
      </c>
      <c r="H3820" s="2" t="s">
        <v>21</v>
      </c>
      <c r="I3820" s="2" t="s">
        <v>9175</v>
      </c>
      <c r="J3820" s="3" t="str">
        <f>HYPERLINK("https://www.boe.es/gazeta/dias/1817/11/11/pdfs/GMD-1817-135.pdf#page=6","Abrir facsímil")</f>
        <v>Abrir facsímil</v>
      </c>
      <c r="K3820" s="3" t="s">
        <v>23</v>
      </c>
    </row>
    <row r="3821" spans="1:11" ht="42" customHeight="1">
      <c r="A3821" s="2" t="s">
        <v>9176</v>
      </c>
      <c r="B3821" s="2" t="s">
        <v>9177</v>
      </c>
      <c r="C3821" s="2" t="s">
        <v>36</v>
      </c>
      <c r="D3821" s="2" t="s">
        <v>37</v>
      </c>
      <c r="E3821" s="5">
        <v>-29988</v>
      </c>
      <c r="F3821" s="3" t="s">
        <v>569</v>
      </c>
      <c r="G3821" s="3" t="s">
        <v>112</v>
      </c>
      <c r="H3821" s="2" t="s">
        <v>21</v>
      </c>
      <c r="I3821" s="2" t="s">
        <v>9178</v>
      </c>
      <c r="J3821" s="3" t="str">
        <f>HYPERLINK("https://www.boe.es/gazeta/dias/1817/11/22/pdfs/GMD-1817-140.pdf#page=11","Abrir facsímil")</f>
        <v>Abrir facsímil</v>
      </c>
      <c r="K3821" s="3" t="s">
        <v>23</v>
      </c>
    </row>
    <row r="3822" spans="1:11" ht="42" customHeight="1">
      <c r="A3822" s="2" t="s">
        <v>9179</v>
      </c>
      <c r="B3822" s="2" t="s">
        <v>9180</v>
      </c>
      <c r="C3822" s="2" t="s">
        <v>49</v>
      </c>
      <c r="D3822" s="2" t="s">
        <v>44</v>
      </c>
      <c r="E3822" s="5">
        <v>-29990</v>
      </c>
      <c r="F3822" s="3" t="s">
        <v>542</v>
      </c>
      <c r="G3822" s="3" t="s">
        <v>77</v>
      </c>
      <c r="H3822" s="2" t="s">
        <v>21</v>
      </c>
      <c r="I3822" s="2" t="s">
        <v>9181</v>
      </c>
      <c r="J3822" s="3" t="str">
        <f>HYPERLINK("https://www.boe.es/gazeta/dias/1817/11/20/pdfs/GMD-1817-139.pdf#page=8","Abrir facsímil")</f>
        <v>Abrir facsímil</v>
      </c>
      <c r="K3822" s="3" t="s">
        <v>23</v>
      </c>
    </row>
    <row r="3823" spans="1:11" ht="42" customHeight="1">
      <c r="A3823" s="2" t="s">
        <v>9182</v>
      </c>
      <c r="B3823" s="2" t="s">
        <v>9183</v>
      </c>
      <c r="C3823" s="2" t="s">
        <v>43</v>
      </c>
      <c r="D3823" s="2" t="s">
        <v>44</v>
      </c>
      <c r="E3823" s="5">
        <v>-29985</v>
      </c>
      <c r="F3823" s="3" t="s">
        <v>76</v>
      </c>
      <c r="G3823" s="3" t="s">
        <v>112</v>
      </c>
      <c r="H3823" s="2" t="s">
        <v>21</v>
      </c>
      <c r="I3823" s="2" t="s">
        <v>9184</v>
      </c>
      <c r="J3823" s="3" t="str">
        <f>HYPERLINK("https://www.boe.es/gazeta/dias/1817/11/25/pdfs/GMD-1817-141.pdf#page=11","Abrir facsímil")</f>
        <v>Abrir facsímil</v>
      </c>
      <c r="K3823" s="3" t="s">
        <v>23</v>
      </c>
    </row>
    <row r="3824" spans="1:11" ht="42" customHeight="1">
      <c r="A3824" s="2" t="s">
        <v>9185</v>
      </c>
      <c r="B3824" s="2" t="s">
        <v>9186</v>
      </c>
      <c r="C3824" s="2" t="s">
        <v>43</v>
      </c>
      <c r="D3824" s="2" t="s">
        <v>44</v>
      </c>
      <c r="E3824" s="5">
        <v>-30144</v>
      </c>
      <c r="F3824" s="3" t="s">
        <v>846</v>
      </c>
      <c r="G3824" s="3" t="s">
        <v>39</v>
      </c>
      <c r="H3824" s="2" t="s">
        <v>21</v>
      </c>
      <c r="I3824" s="2" t="s">
        <v>9187</v>
      </c>
      <c r="J3824" s="3" t="str">
        <f>HYPERLINK("https://www.boe.es/gazeta/dias/1817/06/19/pdfs/GMD-1817-73.pdf#page=5","Abrir facsímil")</f>
        <v>Abrir facsímil</v>
      </c>
      <c r="K3824" s="3" t="s">
        <v>23</v>
      </c>
    </row>
    <row r="3825" spans="1:11" ht="42" customHeight="1">
      <c r="A3825" s="2" t="s">
        <v>9188</v>
      </c>
      <c r="B3825" s="2" t="s">
        <v>9189</v>
      </c>
      <c r="C3825" s="2" t="s">
        <v>36</v>
      </c>
      <c r="D3825" s="2" t="s">
        <v>37</v>
      </c>
      <c r="E3825" s="5">
        <v>-30144</v>
      </c>
      <c r="F3825" s="3" t="s">
        <v>846</v>
      </c>
      <c r="G3825" s="3" t="s">
        <v>57</v>
      </c>
      <c r="H3825" s="2" t="s">
        <v>21</v>
      </c>
      <c r="I3825" s="2" t="s">
        <v>9190</v>
      </c>
      <c r="J3825" s="3" t="str">
        <f>HYPERLINK("https://www.boe.es/gazeta/dias/1817/06/19/pdfs/GMD-1817-73.pdf#page=6","Abrir facsímil")</f>
        <v>Abrir facsímil</v>
      </c>
      <c r="K3825" s="3" t="s">
        <v>23</v>
      </c>
    </row>
    <row r="3826" spans="1:11" ht="42" customHeight="1">
      <c r="A3826" s="2" t="s">
        <v>9191</v>
      </c>
      <c r="B3826" s="2" t="s">
        <v>9192</v>
      </c>
      <c r="C3826" s="2" t="s">
        <v>36</v>
      </c>
      <c r="D3826" s="2" t="s">
        <v>37</v>
      </c>
      <c r="E3826" s="5">
        <v>-30065</v>
      </c>
      <c r="F3826" s="3" t="s">
        <v>201</v>
      </c>
      <c r="G3826" s="3" t="s">
        <v>20</v>
      </c>
      <c r="H3826" s="2" t="s">
        <v>21</v>
      </c>
      <c r="I3826" s="2" t="s">
        <v>9193</v>
      </c>
      <c r="J3826" s="3" t="str">
        <f>HYPERLINK("https://www.boe.es/gazeta/dias/1817/09/06/pdfs/GMD-1817-107.pdf#page=7","Abrir facsímil")</f>
        <v>Abrir facsímil</v>
      </c>
      <c r="K3826" s="3" t="s">
        <v>23</v>
      </c>
    </row>
    <row r="3827" spans="1:11" ht="42" customHeight="1">
      <c r="A3827" s="2" t="s">
        <v>9194</v>
      </c>
      <c r="B3827" s="2" t="s">
        <v>9194</v>
      </c>
      <c r="C3827" s="2" t="s">
        <v>36</v>
      </c>
      <c r="D3827" s="2" t="s">
        <v>37</v>
      </c>
      <c r="E3827" s="5">
        <v>-30219</v>
      </c>
      <c r="F3827" s="3" t="s">
        <v>1346</v>
      </c>
      <c r="G3827" s="3" t="s">
        <v>1347</v>
      </c>
      <c r="H3827" s="2" t="s">
        <v>21</v>
      </c>
      <c r="I3827" s="2" t="s">
        <v>9195</v>
      </c>
      <c r="J3827" s="3" t="str">
        <f>HYPERLINK("https://www.boe.es/gazeta/dias/1817/04/05/pdfs/GMD-1817-41.pdf#page=8","Abrir facsímil")</f>
        <v>Abrir facsímil</v>
      </c>
      <c r="K3827" s="3" t="s">
        <v>23</v>
      </c>
    </row>
    <row r="3828" spans="1:11" ht="42" customHeight="1">
      <c r="A3828" s="2" t="s">
        <v>9196</v>
      </c>
      <c r="B3828" s="2" t="s">
        <v>9197</v>
      </c>
      <c r="C3828" s="2" t="s">
        <v>43</v>
      </c>
      <c r="D3828" s="2" t="s">
        <v>44</v>
      </c>
      <c r="E3828" s="5">
        <v>-29981</v>
      </c>
      <c r="F3828" s="3" t="s">
        <v>111</v>
      </c>
      <c r="G3828" s="3" t="s">
        <v>112</v>
      </c>
      <c r="H3828" s="2" t="s">
        <v>21</v>
      </c>
      <c r="I3828" s="2" t="s">
        <v>9198</v>
      </c>
      <c r="J3828" s="3" t="str">
        <f>HYPERLINK("https://www.boe.es/gazeta/dias/1817/11/29/pdfs/GMD-1817-143.pdf#page=11","Abrir facsímil")</f>
        <v>Abrir facsímil</v>
      </c>
      <c r="K3828" s="3" t="s">
        <v>23</v>
      </c>
    </row>
    <row r="3829" spans="1:11" ht="42" customHeight="1">
      <c r="A3829" s="2" t="s">
        <v>9199</v>
      </c>
      <c r="B3829" s="2" t="s">
        <v>9200</v>
      </c>
      <c r="C3829" s="2" t="s">
        <v>36</v>
      </c>
      <c r="D3829" s="2" t="s">
        <v>37</v>
      </c>
      <c r="E3829" s="5">
        <v>-29974</v>
      </c>
      <c r="F3829" s="3" t="s">
        <v>32</v>
      </c>
      <c r="G3829" s="3" t="s">
        <v>57</v>
      </c>
      <c r="H3829" s="2" t="s">
        <v>27</v>
      </c>
      <c r="I3829" s="2" t="s">
        <v>9201</v>
      </c>
      <c r="J3829" s="3" t="str">
        <f>HYPERLINK("https://www.boe.es/gazeta/dias/1817/12/06/pdfs/GMD-1817-146.pdf#page=6","Abrir facsímil")</f>
        <v>Abrir facsímil</v>
      </c>
      <c r="K3829" s="3" t="s">
        <v>29</v>
      </c>
    </row>
    <row r="3830" spans="1:11" ht="42" customHeight="1">
      <c r="A3830" s="2" t="s">
        <v>9202</v>
      </c>
      <c r="B3830" s="2" t="s">
        <v>9203</v>
      </c>
      <c r="C3830" s="2" t="s">
        <v>36</v>
      </c>
      <c r="D3830" s="2" t="s">
        <v>37</v>
      </c>
      <c r="E3830" s="5">
        <v>-30235</v>
      </c>
      <c r="F3830" s="3" t="s">
        <v>398</v>
      </c>
      <c r="G3830" s="3" t="s">
        <v>20</v>
      </c>
      <c r="H3830" s="2" t="s">
        <v>21</v>
      </c>
      <c r="I3830" s="2" t="s">
        <v>9204</v>
      </c>
      <c r="J3830" s="3" t="str">
        <f>HYPERLINK("https://www.boe.es/gazeta/dias/1817/03/20/pdfs/GMD-1817-34.pdf#page=7","Abrir facsímil")</f>
        <v>Abrir facsímil</v>
      </c>
      <c r="K3830" s="3" t="s">
        <v>23</v>
      </c>
    </row>
    <row r="3831" spans="1:11" ht="42" customHeight="1">
      <c r="A3831" s="2" t="s">
        <v>9205</v>
      </c>
      <c r="B3831" s="2" t="s">
        <v>9206</v>
      </c>
      <c r="C3831" s="2" t="s">
        <v>36</v>
      </c>
      <c r="D3831" s="2" t="s">
        <v>37</v>
      </c>
      <c r="E3831" s="5">
        <v>-30125</v>
      </c>
      <c r="F3831" s="3" t="s">
        <v>102</v>
      </c>
      <c r="G3831" s="3" t="s">
        <v>112</v>
      </c>
      <c r="H3831" s="2" t="s">
        <v>21</v>
      </c>
      <c r="I3831" s="2" t="s">
        <v>9207</v>
      </c>
      <c r="J3831" s="3" t="str">
        <f>HYPERLINK("https://www.boe.es/gazeta/dias/1817/07/08/pdfs/GMD-1817-81.pdf#page=11","Abrir facsímil")</f>
        <v>Abrir facsímil</v>
      </c>
      <c r="K3831" s="3" t="s">
        <v>23</v>
      </c>
    </row>
    <row r="3832" spans="1:11" ht="42" customHeight="1">
      <c r="A3832" s="2" t="s">
        <v>9208</v>
      </c>
      <c r="B3832" s="2" t="s">
        <v>9209</v>
      </c>
      <c r="C3832" s="2" t="s">
        <v>138</v>
      </c>
      <c r="D3832" s="2" t="s">
        <v>44</v>
      </c>
      <c r="E3832" s="5">
        <v>-30097</v>
      </c>
      <c r="F3832" s="3" t="s">
        <v>156</v>
      </c>
      <c r="G3832" s="3" t="s">
        <v>20</v>
      </c>
      <c r="H3832" s="2" t="s">
        <v>27</v>
      </c>
      <c r="I3832" s="2" t="s">
        <v>9210</v>
      </c>
      <c r="J3832" s="3" t="str">
        <f>HYPERLINK("https://www.boe.es/gazeta/dias/1817/08/05/pdfs/GMD-1817-93.pdf#page=7","Abrir facsímil")</f>
        <v>Abrir facsímil</v>
      </c>
      <c r="K3832" s="3" t="s">
        <v>29</v>
      </c>
    </row>
    <row r="3833" spans="1:11" ht="42" customHeight="1">
      <c r="A3833" s="2" t="s">
        <v>9211</v>
      </c>
      <c r="B3833" s="2" t="s">
        <v>9212</v>
      </c>
      <c r="C3833" s="2" t="s">
        <v>36</v>
      </c>
      <c r="D3833" s="2" t="s">
        <v>37</v>
      </c>
      <c r="E3833" s="5">
        <v>-30041</v>
      </c>
      <c r="F3833" s="3" t="s">
        <v>260</v>
      </c>
      <c r="G3833" s="3" t="s">
        <v>20</v>
      </c>
      <c r="H3833" s="2" t="s">
        <v>21</v>
      </c>
      <c r="I3833" s="2" t="s">
        <v>9213</v>
      </c>
      <c r="J3833" s="3" t="str">
        <f>HYPERLINK("https://www.boe.es/gazeta/dias/1817/09/30/pdfs/GMD-1817-117.pdf#page=7","Abrir facsímil")</f>
        <v>Abrir facsímil</v>
      </c>
      <c r="K3833" s="3" t="s">
        <v>23</v>
      </c>
    </row>
    <row r="3834" spans="1:11" ht="42" customHeight="1">
      <c r="A3834" s="2" t="s">
        <v>9214</v>
      </c>
      <c r="B3834" s="2" t="s">
        <v>9215</v>
      </c>
      <c r="C3834" s="2" t="s">
        <v>36</v>
      </c>
      <c r="D3834" s="2" t="s">
        <v>37</v>
      </c>
      <c r="E3834" s="5">
        <v>-30163</v>
      </c>
      <c r="F3834" s="3" t="s">
        <v>166</v>
      </c>
      <c r="G3834" s="3" t="s">
        <v>144</v>
      </c>
      <c r="H3834" s="2" t="s">
        <v>21</v>
      </c>
      <c r="I3834" s="2" t="s">
        <v>9216</v>
      </c>
      <c r="J3834" s="3" t="str">
        <f>HYPERLINK("https://www.boe.es/gazeta/dias/1817/05/31/pdfs/GMD-1817-65.pdf#page=4","Abrir facsímil")</f>
        <v>Abrir facsímil</v>
      </c>
      <c r="K3834" s="3" t="s">
        <v>23</v>
      </c>
    </row>
    <row r="3835" spans="1:11" ht="42" customHeight="1">
      <c r="A3835" s="2" t="s">
        <v>9217</v>
      </c>
      <c r="B3835" s="2" t="s">
        <v>9217</v>
      </c>
      <c r="C3835" s="2" t="s">
        <v>36</v>
      </c>
      <c r="D3835" s="2" t="s">
        <v>37</v>
      </c>
      <c r="E3835" s="5">
        <v>-29969</v>
      </c>
      <c r="F3835" s="3" t="s">
        <v>252</v>
      </c>
      <c r="G3835" s="3" t="s">
        <v>314</v>
      </c>
      <c r="H3835" s="2" t="s">
        <v>21</v>
      </c>
      <c r="I3835" s="2" t="s">
        <v>9218</v>
      </c>
      <c r="J3835" s="3" t="str">
        <f>HYPERLINK("https://www.boe.es/gazeta/dias/1817/12/11/pdfs/GMD-1817-148.pdf#page=10","Abrir facsímil")</f>
        <v>Abrir facsímil</v>
      </c>
      <c r="K3835" s="3" t="s">
        <v>23</v>
      </c>
    </row>
    <row r="3836" spans="1:11" ht="42" customHeight="1">
      <c r="A3836" s="2" t="s">
        <v>9219</v>
      </c>
      <c r="B3836" s="2" t="s">
        <v>9220</v>
      </c>
      <c r="C3836" s="2" t="s">
        <v>17</v>
      </c>
      <c r="D3836" s="2" t="s">
        <v>18</v>
      </c>
      <c r="E3836" s="5">
        <v>-30228</v>
      </c>
      <c r="F3836" s="3" t="s">
        <v>383</v>
      </c>
      <c r="G3836" s="3" t="s">
        <v>77</v>
      </c>
      <c r="H3836" s="2" t="s">
        <v>21</v>
      </c>
      <c r="I3836" s="2" t="s">
        <v>9221</v>
      </c>
      <c r="J3836" s="3" t="str">
        <f>HYPERLINK("https://www.boe.es/gazeta/dias/1817/03/27/pdfs/GMD-1817-37.pdf#page=8","Abrir facsímil")</f>
        <v>Abrir facsímil</v>
      </c>
      <c r="K3836" s="3" t="s">
        <v>23</v>
      </c>
    </row>
    <row r="3837" spans="1:11" ht="42" customHeight="1">
      <c r="A3837" s="2" t="s">
        <v>9222</v>
      </c>
      <c r="B3837" s="2" t="s">
        <v>9223</v>
      </c>
      <c r="C3837" s="2" t="s">
        <v>36</v>
      </c>
      <c r="D3837" s="2" t="s">
        <v>37</v>
      </c>
      <c r="E3837" s="5">
        <v>-30023</v>
      </c>
      <c r="F3837" s="3" t="s">
        <v>460</v>
      </c>
      <c r="G3837" s="3" t="s">
        <v>461</v>
      </c>
      <c r="H3837" s="2" t="s">
        <v>21</v>
      </c>
      <c r="I3837" s="2" t="s">
        <v>9224</v>
      </c>
      <c r="J3837" s="3" t="str">
        <f>HYPERLINK("https://www.boe.es/gazeta/dias/1817/10/18/pdfs/GMD-1817-125.pdf#page=8","Abrir facsímil")</f>
        <v>Abrir facsímil</v>
      </c>
      <c r="K3837" s="3" t="s">
        <v>23</v>
      </c>
    </row>
    <row r="3838" spans="1:11" ht="42" customHeight="1">
      <c r="A3838" s="2" t="s">
        <v>9225</v>
      </c>
      <c r="B3838" s="2" t="s">
        <v>9226</v>
      </c>
      <c r="C3838" s="2" t="s">
        <v>36</v>
      </c>
      <c r="D3838" s="2" t="s">
        <v>37</v>
      </c>
      <c r="E3838" s="5">
        <v>-29981</v>
      </c>
      <c r="F3838" s="3" t="s">
        <v>111</v>
      </c>
      <c r="G3838" s="3" t="s">
        <v>20</v>
      </c>
      <c r="H3838" s="2" t="s">
        <v>21</v>
      </c>
      <c r="I3838" s="2" t="s">
        <v>9227</v>
      </c>
      <c r="J3838" s="3" t="str">
        <f>HYPERLINK("https://www.boe.es/gazeta/dias/1817/11/29/pdfs/GMD-1817-143.pdf#page=7","Abrir facsímil")</f>
        <v>Abrir facsímil</v>
      </c>
      <c r="K3838" s="3" t="s">
        <v>23</v>
      </c>
    </row>
    <row r="3839" spans="1:11" ht="42" customHeight="1">
      <c r="A3839" s="2" t="s">
        <v>9228</v>
      </c>
      <c r="B3839" s="2" t="s">
        <v>9229</v>
      </c>
      <c r="C3839" s="2" t="s">
        <v>43</v>
      </c>
      <c r="D3839" s="2" t="s">
        <v>44</v>
      </c>
      <c r="E3839" s="5">
        <v>-30151</v>
      </c>
      <c r="F3839" s="3" t="s">
        <v>1422</v>
      </c>
      <c r="G3839" s="3" t="s">
        <v>39</v>
      </c>
      <c r="H3839" s="2" t="s">
        <v>21</v>
      </c>
      <c r="I3839" s="2" t="s">
        <v>9230</v>
      </c>
      <c r="J3839" s="3" t="str">
        <f>HYPERLINK("https://www.boe.es/gazeta/dias/1817/06/12/pdfs/GMD-1817-70.pdf#page=5","Abrir facsímil")</f>
        <v>Abrir facsímil</v>
      </c>
      <c r="K3839" s="3" t="s">
        <v>23</v>
      </c>
    </row>
    <row r="3840" spans="1:11" ht="42" customHeight="1">
      <c r="A3840" s="2" t="s">
        <v>9231</v>
      </c>
      <c r="B3840" s="2" t="s">
        <v>9232</v>
      </c>
      <c r="C3840" s="2" t="s">
        <v>17</v>
      </c>
      <c r="D3840" s="2" t="s">
        <v>18</v>
      </c>
      <c r="E3840" s="5">
        <v>-30121</v>
      </c>
      <c r="F3840" s="3" t="s">
        <v>851</v>
      </c>
      <c r="G3840" s="3" t="s">
        <v>20</v>
      </c>
      <c r="H3840" s="2" t="s">
        <v>21</v>
      </c>
      <c r="I3840" s="2" t="s">
        <v>9233</v>
      </c>
      <c r="J3840" s="3" t="str">
        <f>HYPERLINK("https://www.boe.es/gazeta/dias/1817/07/12/pdfs/GMD-1817-83.pdf#page=7","Abrir facsímil")</f>
        <v>Abrir facsímil</v>
      </c>
      <c r="K3840" s="3" t="s">
        <v>23</v>
      </c>
    </row>
    <row r="3841" spans="1:11" ht="42" customHeight="1">
      <c r="A3841" s="2" t="s">
        <v>9234</v>
      </c>
      <c r="B3841" s="2" t="s">
        <v>9235</v>
      </c>
      <c r="C3841" s="2" t="s">
        <v>55</v>
      </c>
      <c r="D3841" s="2" t="s">
        <v>44</v>
      </c>
      <c r="E3841" s="5">
        <v>-30065</v>
      </c>
      <c r="F3841" s="3" t="s">
        <v>201</v>
      </c>
      <c r="G3841" s="3" t="s">
        <v>57</v>
      </c>
      <c r="H3841" s="2" t="s">
        <v>21</v>
      </c>
      <c r="I3841" s="2" t="s">
        <v>9236</v>
      </c>
      <c r="J3841" s="3" t="str">
        <f>HYPERLINK("https://www.boe.es/gazeta/dias/1817/09/06/pdfs/GMD-1817-107.pdf#page=6","Abrir facsímil")</f>
        <v>Abrir facsímil</v>
      </c>
      <c r="K3841" s="3" t="s">
        <v>23</v>
      </c>
    </row>
    <row r="3842" spans="1:11" ht="42" customHeight="1">
      <c r="A3842" s="2" t="s">
        <v>9237</v>
      </c>
      <c r="B3842" s="2" t="s">
        <v>9238</v>
      </c>
      <c r="C3842" s="2" t="s">
        <v>55</v>
      </c>
      <c r="D3842" s="2" t="s">
        <v>44</v>
      </c>
      <c r="E3842" s="5">
        <v>-30135</v>
      </c>
      <c r="F3842" s="3" t="s">
        <v>239</v>
      </c>
      <c r="G3842" s="3" t="s">
        <v>144</v>
      </c>
      <c r="H3842" s="2" t="s">
        <v>21</v>
      </c>
      <c r="I3842" s="2" t="s">
        <v>9239</v>
      </c>
      <c r="J3842" s="3" t="str">
        <f>HYPERLINK("https://www.boe.es/gazeta/dias/1817/06/28/pdfs/GMD-1817-77.pdf#page=4","Abrir facsímil")</f>
        <v>Abrir facsímil</v>
      </c>
      <c r="K3842" s="3" t="s">
        <v>23</v>
      </c>
    </row>
    <row r="3843" spans="1:11" ht="42" customHeight="1">
      <c r="A3843" s="2" t="s">
        <v>9240</v>
      </c>
      <c r="B3843" s="2" t="s">
        <v>9241</v>
      </c>
      <c r="C3843" s="2" t="s">
        <v>55</v>
      </c>
      <c r="D3843" s="2" t="s">
        <v>44</v>
      </c>
      <c r="E3843" s="5">
        <v>-30242</v>
      </c>
      <c r="F3843" s="3" t="s">
        <v>62</v>
      </c>
      <c r="G3843" s="3" t="s">
        <v>77</v>
      </c>
      <c r="H3843" s="2" t="s">
        <v>21</v>
      </c>
      <c r="I3843" s="2" t="s">
        <v>9242</v>
      </c>
      <c r="J3843" s="3" t="str">
        <f>HYPERLINK("https://www.boe.es/gazeta/dias/1817/03/13/pdfs/GMD-1817-31.pdf#page=8","Abrir facsímil")</f>
        <v>Abrir facsímil</v>
      </c>
      <c r="K3843" s="3" t="s">
        <v>23</v>
      </c>
    </row>
    <row r="3844" spans="1:11" ht="42" customHeight="1">
      <c r="A3844" s="2" t="s">
        <v>9240</v>
      </c>
      <c r="B3844" s="2" t="s">
        <v>9241</v>
      </c>
      <c r="C3844" s="2" t="s">
        <v>55</v>
      </c>
      <c r="D3844" s="2" t="s">
        <v>44</v>
      </c>
      <c r="E3844" s="5">
        <v>-30053</v>
      </c>
      <c r="F3844" s="3" t="s">
        <v>129</v>
      </c>
      <c r="G3844" s="3" t="s">
        <v>82</v>
      </c>
      <c r="H3844" s="2" t="s">
        <v>21</v>
      </c>
      <c r="I3844" s="2" t="s">
        <v>9243</v>
      </c>
      <c r="J3844" s="3" t="str">
        <f>HYPERLINK("https://www.boe.es/gazeta/dias/1817/09/18/pdfs/GMD-1817-112.pdf#page=12","Abrir facsímil")</f>
        <v>Abrir facsímil</v>
      </c>
      <c r="K3844" s="3" t="s">
        <v>23</v>
      </c>
    </row>
    <row r="3845" spans="1:11" ht="42" customHeight="1">
      <c r="A3845" s="2" t="s">
        <v>9244</v>
      </c>
      <c r="B3845" s="2" t="s">
        <v>9245</v>
      </c>
      <c r="C3845" s="2" t="s">
        <v>55</v>
      </c>
      <c r="D3845" s="2" t="s">
        <v>44</v>
      </c>
      <c r="E3845" s="5">
        <v>-30114</v>
      </c>
      <c r="F3845" s="3" t="s">
        <v>500</v>
      </c>
      <c r="G3845" s="3" t="s">
        <v>20</v>
      </c>
      <c r="H3845" s="2" t="s">
        <v>21</v>
      </c>
      <c r="I3845" s="2" t="s">
        <v>9246</v>
      </c>
      <c r="J3845" s="3" t="str">
        <f>HYPERLINK("https://www.boe.es/gazeta/dias/1817/07/19/pdfs/GMD-1817-86.pdf#page=7","Abrir facsímil")</f>
        <v>Abrir facsímil</v>
      </c>
      <c r="K3845" s="3" t="s">
        <v>23</v>
      </c>
    </row>
    <row r="3846" spans="1:11" ht="42" customHeight="1">
      <c r="A3846" s="2" t="s">
        <v>9247</v>
      </c>
      <c r="B3846" s="2" t="s">
        <v>9248</v>
      </c>
      <c r="C3846" s="2" t="s">
        <v>17</v>
      </c>
      <c r="D3846" s="2" t="s">
        <v>18</v>
      </c>
      <c r="E3846" s="5">
        <v>-30291</v>
      </c>
      <c r="F3846" s="3" t="s">
        <v>1041</v>
      </c>
      <c r="G3846" s="3" t="s">
        <v>39</v>
      </c>
      <c r="H3846" s="2" t="s">
        <v>21</v>
      </c>
      <c r="I3846" s="2" t="s">
        <v>9249</v>
      </c>
      <c r="J3846" s="3" t="str">
        <f>HYPERLINK("https://www.boe.es/gazeta/dias/1817/01/23/pdfs/GMD-1817-10.pdf#page=5","Abrir facsímil")</f>
        <v>Abrir facsímil</v>
      </c>
      <c r="K3846" s="3" t="s">
        <v>23</v>
      </c>
    </row>
    <row r="3847" spans="1:11" ht="42" customHeight="1">
      <c r="A3847" s="2" t="s">
        <v>9250</v>
      </c>
      <c r="B3847" s="2" t="s">
        <v>9251</v>
      </c>
      <c r="C3847" s="2" t="s">
        <v>36</v>
      </c>
      <c r="D3847" s="2" t="s">
        <v>37</v>
      </c>
      <c r="E3847" s="5">
        <v>-30247</v>
      </c>
      <c r="F3847" s="3" t="s">
        <v>1796</v>
      </c>
      <c r="G3847" s="3" t="s">
        <v>20</v>
      </c>
      <c r="H3847" s="2" t="s">
        <v>21</v>
      </c>
      <c r="I3847" s="2" t="s">
        <v>9252</v>
      </c>
      <c r="J3847" s="3" t="str">
        <f>HYPERLINK("https://www.boe.es/gazeta/dias/1817/03/08/pdfs/GMD-1817-29.pdf#page=7","Abrir facsímil")</f>
        <v>Abrir facsímil</v>
      </c>
      <c r="K3847" s="3" t="s">
        <v>23</v>
      </c>
    </row>
    <row r="3848" spans="1:11" ht="42" customHeight="1">
      <c r="A3848" s="2" t="s">
        <v>9253</v>
      </c>
      <c r="B3848" s="2" t="s">
        <v>9254</v>
      </c>
      <c r="C3848" s="2" t="s">
        <v>36</v>
      </c>
      <c r="D3848" s="2" t="s">
        <v>37</v>
      </c>
      <c r="E3848" s="5">
        <v>-30230</v>
      </c>
      <c r="F3848" s="3" t="s">
        <v>189</v>
      </c>
      <c r="G3848" s="3" t="s">
        <v>20</v>
      </c>
      <c r="H3848" s="2" t="s">
        <v>21</v>
      </c>
      <c r="I3848" s="2" t="s">
        <v>9255</v>
      </c>
      <c r="J3848" s="3" t="str">
        <f>HYPERLINK("https://www.boe.es/gazeta/dias/1817/03/25/pdfs/GMD-1817-36.pdf#page=7","Abrir facsímil")</f>
        <v>Abrir facsímil</v>
      </c>
      <c r="K3848" s="3" t="s">
        <v>23</v>
      </c>
    </row>
    <row r="3849" spans="1:11" ht="42" customHeight="1">
      <c r="A3849" s="2" t="s">
        <v>9256</v>
      </c>
      <c r="B3849" s="2" t="s">
        <v>9256</v>
      </c>
      <c r="C3849" s="2" t="s">
        <v>36</v>
      </c>
      <c r="D3849" s="2" t="s">
        <v>37</v>
      </c>
      <c r="E3849" s="5">
        <v>-30209</v>
      </c>
      <c r="F3849" s="3" t="s">
        <v>1478</v>
      </c>
      <c r="G3849" s="3" t="s">
        <v>2452</v>
      </c>
      <c r="H3849" s="2" t="s">
        <v>21</v>
      </c>
      <c r="I3849" s="2" t="s">
        <v>9257</v>
      </c>
      <c r="J3849" s="3" t="str">
        <f>HYPERLINK("https://www.boe.es/gazeta/dias/1817/04/15/pdfs/GMD-1817-45.pdf#page=4","Abrir facsímil")</f>
        <v>Abrir facsímil</v>
      </c>
      <c r="K3849" s="3" t="s">
        <v>23</v>
      </c>
    </row>
    <row r="3850" spans="1:11" ht="42" customHeight="1">
      <c r="A3850" s="2" t="s">
        <v>9258</v>
      </c>
      <c r="B3850" s="2" t="s">
        <v>9259</v>
      </c>
      <c r="C3850" s="2" t="s">
        <v>36</v>
      </c>
      <c r="D3850" s="2" t="s">
        <v>37</v>
      </c>
      <c r="E3850" s="5">
        <v>-30095</v>
      </c>
      <c r="F3850" s="3" t="s">
        <v>365</v>
      </c>
      <c r="G3850" s="3" t="s">
        <v>39</v>
      </c>
      <c r="H3850" s="2" t="s">
        <v>21</v>
      </c>
      <c r="I3850" s="2" t="s">
        <v>9260</v>
      </c>
      <c r="J3850" s="3" t="str">
        <f>HYPERLINK("https://www.boe.es/gazeta/dias/1817/08/07/pdfs/GMD-1817-94.pdf#page=5","Abrir facsímil")</f>
        <v>Abrir facsímil</v>
      </c>
      <c r="K3850" s="3" t="s">
        <v>23</v>
      </c>
    </row>
    <row r="3851" spans="1:11" ht="42" customHeight="1">
      <c r="A3851" s="2" t="s">
        <v>9261</v>
      </c>
      <c r="B3851" s="2" t="s">
        <v>9261</v>
      </c>
      <c r="C3851" s="2" t="s">
        <v>36</v>
      </c>
      <c r="D3851" s="2" t="s">
        <v>37</v>
      </c>
      <c r="E3851" s="5">
        <v>-30300</v>
      </c>
      <c r="F3851" s="3" t="s">
        <v>164</v>
      </c>
      <c r="G3851" s="3" t="s">
        <v>6155</v>
      </c>
      <c r="H3851" s="2" t="s">
        <v>21</v>
      </c>
      <c r="I3851" s="2" t="s">
        <v>9262</v>
      </c>
      <c r="J3851" s="3" t="str">
        <f>HYPERLINK("https://www.boe.es/gazeta/dias/1817/01/14/pdfs/GMD-1817-6.pdf#page=4","Abrir facsímil")</f>
        <v>Abrir facsímil</v>
      </c>
      <c r="K3851" s="3" t="s">
        <v>23</v>
      </c>
    </row>
    <row r="3852" spans="1:11" ht="42" customHeight="1">
      <c r="A3852" s="2" t="s">
        <v>9261</v>
      </c>
      <c r="B3852" s="2" t="s">
        <v>9261</v>
      </c>
      <c r="C3852" s="2" t="s">
        <v>36</v>
      </c>
      <c r="D3852" s="2" t="s">
        <v>37</v>
      </c>
      <c r="E3852" s="5">
        <v>-30130</v>
      </c>
      <c r="F3852" s="3" t="s">
        <v>768</v>
      </c>
      <c r="G3852" s="3" t="s">
        <v>144</v>
      </c>
      <c r="H3852" s="2" t="s">
        <v>21</v>
      </c>
      <c r="I3852" s="2" t="s">
        <v>9263</v>
      </c>
      <c r="J3852" s="3" t="str">
        <f>HYPERLINK("https://www.boe.es/gazeta/dias/1817/07/03/pdfs/GMD-1817-79.pdf#page=4","Abrir facsímil")</f>
        <v>Abrir facsímil</v>
      </c>
      <c r="K3852" s="3" t="s">
        <v>23</v>
      </c>
    </row>
    <row r="3853" spans="1:11" ht="42" customHeight="1">
      <c r="A3853" s="2" t="s">
        <v>9264</v>
      </c>
      <c r="B3853" s="2" t="s">
        <v>9264</v>
      </c>
      <c r="C3853" s="2" t="s">
        <v>36</v>
      </c>
      <c r="D3853" s="2" t="s">
        <v>37</v>
      </c>
      <c r="E3853" s="5">
        <v>-30279</v>
      </c>
      <c r="F3853" s="3" t="s">
        <v>1113</v>
      </c>
      <c r="G3853" s="3" t="s">
        <v>144</v>
      </c>
      <c r="H3853" s="2" t="s">
        <v>21</v>
      </c>
      <c r="I3853" s="2" t="s">
        <v>9265</v>
      </c>
      <c r="J3853" s="3" t="str">
        <f>HYPERLINK("https://www.boe.es/gazeta/dias/1817/02/04/pdfs/GMD-1817-15.pdf#page=4","Abrir facsímil")</f>
        <v>Abrir facsímil</v>
      </c>
      <c r="K3853" s="3" t="s">
        <v>23</v>
      </c>
    </row>
    <row r="3854" spans="1:11" ht="42" customHeight="1">
      <c r="A3854" s="2" t="s">
        <v>9266</v>
      </c>
      <c r="B3854" s="2" t="s">
        <v>9266</v>
      </c>
      <c r="C3854" s="2" t="s">
        <v>36</v>
      </c>
      <c r="D3854" s="2" t="s">
        <v>37</v>
      </c>
      <c r="E3854" s="5">
        <v>-30242</v>
      </c>
      <c r="F3854" s="3" t="s">
        <v>62</v>
      </c>
      <c r="G3854" s="3" t="s">
        <v>72</v>
      </c>
      <c r="H3854" s="2" t="s">
        <v>21</v>
      </c>
      <c r="I3854" s="2" t="s">
        <v>9267</v>
      </c>
      <c r="J3854" s="3" t="str">
        <f>HYPERLINK("https://www.boe.es/gazeta/dias/1817/03/13/pdfs/GMD-1817-31.pdf#page=1","Abrir facsímil")</f>
        <v>Abrir facsímil</v>
      </c>
      <c r="K3854" s="3" t="s">
        <v>23</v>
      </c>
    </row>
    <row r="3855" spans="1:11" ht="42" customHeight="1">
      <c r="A3855" s="2" t="s">
        <v>9268</v>
      </c>
      <c r="B3855" s="2" t="s">
        <v>9269</v>
      </c>
      <c r="C3855" s="2" t="s">
        <v>36</v>
      </c>
      <c r="D3855" s="2" t="s">
        <v>37</v>
      </c>
      <c r="E3855" s="5">
        <v>-30011</v>
      </c>
      <c r="F3855" s="3" t="s">
        <v>313</v>
      </c>
      <c r="G3855" s="3" t="s">
        <v>1736</v>
      </c>
      <c r="H3855" s="2" t="s">
        <v>21</v>
      </c>
      <c r="I3855" s="2" t="s">
        <v>9270</v>
      </c>
      <c r="J3855" s="3" t="str">
        <f>HYPERLINK("https://www.boe.es/gazeta/dias/1817/10/30/pdfs/GMD-1817-130.pdf#page=11","Abrir facsímil")</f>
        <v>Abrir facsímil</v>
      </c>
      <c r="K3855" s="3" t="s">
        <v>23</v>
      </c>
    </row>
    <row r="3856" spans="1:11" ht="42" customHeight="1">
      <c r="A3856" s="2" t="s">
        <v>9268</v>
      </c>
      <c r="B3856" s="2" t="s">
        <v>9269</v>
      </c>
      <c r="C3856" s="2" t="s">
        <v>36</v>
      </c>
      <c r="D3856" s="2" t="s">
        <v>37</v>
      </c>
      <c r="E3856" s="5">
        <v>-30011</v>
      </c>
      <c r="F3856" s="3" t="s">
        <v>313</v>
      </c>
      <c r="G3856" s="3" t="s">
        <v>77</v>
      </c>
      <c r="H3856" s="2" t="s">
        <v>21</v>
      </c>
      <c r="I3856" s="2" t="s">
        <v>9271</v>
      </c>
      <c r="J3856" s="3" t="str">
        <f>HYPERLINK("https://www.boe.es/gazeta/dias/1817/10/30/pdfs/GMD-1817-130.pdf#page=8","Abrir facsímil")</f>
        <v>Abrir facsímil</v>
      </c>
      <c r="K3856" s="3" t="s">
        <v>23</v>
      </c>
    </row>
    <row r="3857" spans="1:11" ht="42" customHeight="1">
      <c r="A3857" s="2" t="s">
        <v>9272</v>
      </c>
      <c r="B3857" s="2" t="s">
        <v>9273</v>
      </c>
      <c r="C3857" s="2" t="s">
        <v>55</v>
      </c>
      <c r="D3857" s="2" t="s">
        <v>44</v>
      </c>
      <c r="E3857" s="5">
        <v>-30244</v>
      </c>
      <c r="F3857" s="3" t="s">
        <v>1482</v>
      </c>
      <c r="G3857" s="3" t="s">
        <v>77</v>
      </c>
      <c r="H3857" s="2" t="s">
        <v>21</v>
      </c>
      <c r="I3857" s="2" t="s">
        <v>9274</v>
      </c>
      <c r="J3857" s="3" t="str">
        <f>HYPERLINK("https://www.boe.es/gazeta/dias/1817/03/11/pdfs/GMD-1817-30.pdf#page=8","Abrir facsímil")</f>
        <v>Abrir facsímil</v>
      </c>
      <c r="K3857" s="3" t="s">
        <v>23</v>
      </c>
    </row>
    <row r="3858" spans="1:11" ht="42" customHeight="1">
      <c r="A3858" s="2" t="s">
        <v>9275</v>
      </c>
      <c r="B3858" s="2" t="s">
        <v>9276</v>
      </c>
      <c r="C3858" s="2" t="s">
        <v>138</v>
      </c>
      <c r="D3858" s="2" t="s">
        <v>44</v>
      </c>
      <c r="E3858" s="5">
        <v>-30065</v>
      </c>
      <c r="F3858" s="3" t="s">
        <v>201</v>
      </c>
      <c r="G3858" s="3" t="s">
        <v>20</v>
      </c>
      <c r="H3858" s="2" t="s">
        <v>21</v>
      </c>
      <c r="I3858" s="2" t="s">
        <v>9277</v>
      </c>
      <c r="J3858" s="3" t="str">
        <f>HYPERLINK("https://www.boe.es/gazeta/dias/1817/09/06/pdfs/GMD-1817-107.pdf#page=7","Abrir facsímil")</f>
        <v>Abrir facsímil</v>
      </c>
      <c r="K3858" s="3" t="s">
        <v>23</v>
      </c>
    </row>
    <row r="3859" spans="1:11" ht="42" customHeight="1">
      <c r="A3859" s="2" t="s">
        <v>9275</v>
      </c>
      <c r="B3859" s="2" t="s">
        <v>9276</v>
      </c>
      <c r="C3859" s="2" t="s">
        <v>138</v>
      </c>
      <c r="D3859" s="2" t="s">
        <v>44</v>
      </c>
      <c r="E3859" s="5">
        <v>-29988</v>
      </c>
      <c r="F3859" s="3" t="s">
        <v>569</v>
      </c>
      <c r="G3859" s="3" t="s">
        <v>112</v>
      </c>
      <c r="H3859" s="2" t="s">
        <v>21</v>
      </c>
      <c r="I3859" s="2" t="s">
        <v>9278</v>
      </c>
      <c r="J3859" s="3" t="str">
        <f>HYPERLINK("https://www.boe.es/gazeta/dias/1817/11/22/pdfs/GMD-1817-140.pdf#page=11","Abrir facsímil")</f>
        <v>Abrir facsímil</v>
      </c>
      <c r="K3859" s="3" t="s">
        <v>23</v>
      </c>
    </row>
    <row r="3860" spans="1:11" ht="42" customHeight="1">
      <c r="A3860" s="2" t="s">
        <v>9279</v>
      </c>
      <c r="B3860" s="2" t="s">
        <v>9279</v>
      </c>
      <c r="C3860" s="2" t="s">
        <v>17</v>
      </c>
      <c r="D3860" s="2" t="s">
        <v>18</v>
      </c>
      <c r="E3860" s="5">
        <v>-30160</v>
      </c>
      <c r="F3860" s="3" t="s">
        <v>116</v>
      </c>
      <c r="G3860" s="3" t="s">
        <v>1557</v>
      </c>
      <c r="H3860" s="2" t="s">
        <v>21</v>
      </c>
      <c r="I3860" s="2" t="s">
        <v>9280</v>
      </c>
      <c r="J3860" s="3" t="str">
        <f>HYPERLINK("https://www.boe.es/gazeta/dias/1817/06/03/pdfs/GMD-1817-66.pdf#page=2","Abrir facsímil")</f>
        <v>Abrir facsímil</v>
      </c>
      <c r="K3860" s="3" t="s">
        <v>23</v>
      </c>
    </row>
    <row r="3861" spans="1:11" ht="42" customHeight="1">
      <c r="A3861" s="2" t="s">
        <v>9281</v>
      </c>
      <c r="B3861" s="2" t="s">
        <v>9282</v>
      </c>
      <c r="C3861" s="2" t="s">
        <v>36</v>
      </c>
      <c r="D3861" s="2" t="s">
        <v>37</v>
      </c>
      <c r="E3861" s="5">
        <v>-30139</v>
      </c>
      <c r="F3861" s="3" t="s">
        <v>993</v>
      </c>
      <c r="G3861" s="3" t="s">
        <v>1053</v>
      </c>
      <c r="H3861" s="2" t="s">
        <v>27</v>
      </c>
      <c r="I3861" s="2" t="s">
        <v>9283</v>
      </c>
      <c r="J3861" s="3" t="str">
        <f>HYPERLINK("https://www.boe.es/gazeta/dias/1817/06/24/pdfs/GMD-1817-75.pdf#page=4","Abrir facsímil")</f>
        <v>Abrir facsímil</v>
      </c>
      <c r="K3861" s="3" t="s">
        <v>29</v>
      </c>
    </row>
    <row r="3862" spans="1:11" ht="42" customHeight="1">
      <c r="A3862" s="2" t="s">
        <v>9284</v>
      </c>
      <c r="B3862" s="2" t="s">
        <v>9285</v>
      </c>
      <c r="C3862" s="2" t="s">
        <v>36</v>
      </c>
      <c r="D3862" s="2" t="s">
        <v>37</v>
      </c>
      <c r="E3862" s="5">
        <v>-30144</v>
      </c>
      <c r="F3862" s="3" t="s">
        <v>846</v>
      </c>
      <c r="G3862" s="3" t="s">
        <v>39</v>
      </c>
      <c r="H3862" s="2" t="s">
        <v>21</v>
      </c>
      <c r="I3862" s="2" t="s">
        <v>9286</v>
      </c>
      <c r="J3862" s="3" t="str">
        <f>HYPERLINK("https://www.boe.es/gazeta/dias/1817/06/19/pdfs/GMD-1817-73.pdf#page=5","Abrir facsímil")</f>
        <v>Abrir facsímil</v>
      </c>
      <c r="K3862" s="3" t="s">
        <v>23</v>
      </c>
    </row>
    <row r="3863" spans="1:11" ht="42" customHeight="1">
      <c r="A3863" s="2" t="s">
        <v>9287</v>
      </c>
      <c r="B3863" s="2" t="s">
        <v>9288</v>
      </c>
      <c r="C3863" s="2" t="s">
        <v>36</v>
      </c>
      <c r="D3863" s="2" t="s">
        <v>37</v>
      </c>
      <c r="E3863" s="5">
        <v>-30065</v>
      </c>
      <c r="F3863" s="3" t="s">
        <v>201</v>
      </c>
      <c r="G3863" s="3" t="s">
        <v>20</v>
      </c>
      <c r="H3863" s="2" t="s">
        <v>21</v>
      </c>
      <c r="I3863" s="2" t="s">
        <v>9289</v>
      </c>
      <c r="J3863" s="3" t="str">
        <f>HYPERLINK("https://www.boe.es/gazeta/dias/1817/09/06/pdfs/GMD-1817-107.pdf#page=7","Abrir facsímil")</f>
        <v>Abrir facsímil</v>
      </c>
      <c r="K3863" s="3" t="s">
        <v>23</v>
      </c>
    </row>
    <row r="3864" spans="1:11" ht="42" customHeight="1">
      <c r="A3864" s="2" t="s">
        <v>9290</v>
      </c>
      <c r="B3864" s="2" t="s">
        <v>9290</v>
      </c>
      <c r="C3864" s="2" t="s">
        <v>36</v>
      </c>
      <c r="D3864" s="2" t="s">
        <v>37</v>
      </c>
      <c r="E3864" s="5">
        <v>-30125</v>
      </c>
      <c r="F3864" s="3" t="s">
        <v>102</v>
      </c>
      <c r="G3864" s="3" t="s">
        <v>20</v>
      </c>
      <c r="H3864" s="2" t="s">
        <v>21</v>
      </c>
      <c r="I3864" s="2" t="s">
        <v>9291</v>
      </c>
      <c r="J3864" s="3" t="str">
        <f>HYPERLINK("https://www.boe.es/gazeta/dias/1817/07/08/pdfs/GMD-1817-81.pdf#page=7","Abrir facsímil")</f>
        <v>Abrir facsímil</v>
      </c>
      <c r="K3864" s="3" t="s">
        <v>23</v>
      </c>
    </row>
    <row r="3865" spans="1:11" ht="42" customHeight="1">
      <c r="A3865" s="2" t="s">
        <v>9292</v>
      </c>
      <c r="B3865" s="2" t="s">
        <v>9293</v>
      </c>
      <c r="C3865" s="2" t="s">
        <v>17</v>
      </c>
      <c r="D3865" s="2" t="s">
        <v>18</v>
      </c>
      <c r="E3865" s="5">
        <v>-30072</v>
      </c>
      <c r="F3865" s="3" t="s">
        <v>442</v>
      </c>
      <c r="G3865" s="3" t="s">
        <v>20</v>
      </c>
      <c r="H3865" s="2" t="s">
        <v>21</v>
      </c>
      <c r="I3865" s="2" t="s">
        <v>9294</v>
      </c>
      <c r="J3865" s="3" t="str">
        <f>HYPERLINK("https://www.boe.es/gazeta/dias/1817/08/30/pdfs/GMD-1817-104.pdf#page=7","Abrir facsímil")</f>
        <v>Abrir facsímil</v>
      </c>
      <c r="K3865" s="3" t="s">
        <v>23</v>
      </c>
    </row>
    <row r="3866" spans="1:11" ht="42" customHeight="1">
      <c r="A3866" s="2" t="s">
        <v>9295</v>
      </c>
      <c r="B3866" s="2" t="s">
        <v>9296</v>
      </c>
      <c r="C3866" s="2" t="s">
        <v>138</v>
      </c>
      <c r="D3866" s="2" t="s">
        <v>44</v>
      </c>
      <c r="E3866" s="5">
        <v>-30277</v>
      </c>
      <c r="F3866" s="3" t="s">
        <v>3822</v>
      </c>
      <c r="G3866" s="3" t="s">
        <v>4684</v>
      </c>
      <c r="H3866" s="2" t="s">
        <v>21</v>
      </c>
      <c r="I3866" s="2" t="s">
        <v>9297</v>
      </c>
      <c r="J3866" s="3" t="str">
        <f>HYPERLINK("https://www.boe.es/gazeta/dias/1817/02/06/pdfs/GMD-1817-16.pdf#page=6","Abrir facsímil")</f>
        <v>Abrir facsímil</v>
      </c>
      <c r="K3866" s="3" t="s">
        <v>23</v>
      </c>
    </row>
    <row r="3867" spans="1:11" ht="42" customHeight="1">
      <c r="A3867" s="2" t="s">
        <v>9298</v>
      </c>
      <c r="B3867" s="2" t="s">
        <v>9299</v>
      </c>
      <c r="C3867" s="2" t="s">
        <v>17</v>
      </c>
      <c r="D3867" s="2" t="s">
        <v>18</v>
      </c>
      <c r="E3867" s="5">
        <v>-30312</v>
      </c>
      <c r="F3867" s="3" t="s">
        <v>86</v>
      </c>
      <c r="G3867" s="3" t="s">
        <v>20</v>
      </c>
      <c r="H3867" s="2" t="s">
        <v>21</v>
      </c>
      <c r="I3867" s="2" t="s">
        <v>9300</v>
      </c>
      <c r="J3867" s="3" t="str">
        <f>HYPERLINK("https://www.boe.es/gazeta/dias/1817/01/02/pdfs/GMD-1817-1.pdf#page=7","Abrir facsímil")</f>
        <v>Abrir facsímil</v>
      </c>
      <c r="K3867" s="3" t="s">
        <v>23</v>
      </c>
    </row>
    <row r="3868" spans="1:11" ht="42" customHeight="1">
      <c r="A3868" s="2" t="s">
        <v>9301</v>
      </c>
      <c r="B3868" s="2" t="s">
        <v>9302</v>
      </c>
      <c r="C3868" s="2" t="s">
        <v>43</v>
      </c>
      <c r="D3868" s="2" t="s">
        <v>44</v>
      </c>
      <c r="E3868" s="5">
        <v>-30261</v>
      </c>
      <c r="F3868" s="3" t="s">
        <v>226</v>
      </c>
      <c r="G3868" s="3" t="s">
        <v>39</v>
      </c>
      <c r="H3868" s="2" t="s">
        <v>21</v>
      </c>
      <c r="I3868" s="2" t="s">
        <v>9303</v>
      </c>
      <c r="J3868" s="3" t="str">
        <f>HYPERLINK("https://www.boe.es/gazeta/dias/1817/02/22/pdfs/GMD-1817-23.pdf#page=5","Abrir facsímil")</f>
        <v>Abrir facsímil</v>
      </c>
      <c r="K3868" s="3" t="s">
        <v>23</v>
      </c>
    </row>
    <row r="3869" spans="1:11" ht="42" customHeight="1">
      <c r="A3869" s="2" t="s">
        <v>9304</v>
      </c>
      <c r="B3869" s="2" t="s">
        <v>9305</v>
      </c>
      <c r="C3869" s="2" t="s">
        <v>43</v>
      </c>
      <c r="D3869" s="2" t="s">
        <v>44</v>
      </c>
      <c r="E3869" s="5">
        <v>-30081</v>
      </c>
      <c r="F3869" s="3" t="s">
        <v>133</v>
      </c>
      <c r="G3869" s="3" t="s">
        <v>82</v>
      </c>
      <c r="H3869" s="2" t="s">
        <v>21</v>
      </c>
      <c r="I3869" s="2" t="s">
        <v>9306</v>
      </c>
      <c r="J3869" s="3" t="str">
        <f>HYPERLINK("https://www.boe.es/gazeta/dias/1817/08/21/pdfs/GMD-1817-100.pdf#page=12","Abrir facsímil")</f>
        <v>Abrir facsímil</v>
      </c>
      <c r="K3869" s="3" t="s">
        <v>23</v>
      </c>
    </row>
    <row r="3870" spans="1:11" ht="42" customHeight="1">
      <c r="A3870" s="2" t="s">
        <v>9307</v>
      </c>
      <c r="B3870" s="2" t="s">
        <v>9308</v>
      </c>
      <c r="C3870" s="2" t="s">
        <v>49</v>
      </c>
      <c r="D3870" s="2" t="s">
        <v>44</v>
      </c>
      <c r="E3870" s="5">
        <v>-30209</v>
      </c>
      <c r="F3870" s="3" t="s">
        <v>1478</v>
      </c>
      <c r="G3870" s="3" t="s">
        <v>77</v>
      </c>
      <c r="H3870" s="2" t="s">
        <v>21</v>
      </c>
      <c r="I3870" s="2" t="s">
        <v>9309</v>
      </c>
      <c r="J3870" s="3" t="str">
        <f>HYPERLINK("https://www.boe.es/gazeta/dias/1817/04/15/pdfs/GMD-1817-45.pdf#page=8","Abrir facsímil")</f>
        <v>Abrir facsímil</v>
      </c>
      <c r="K3870" s="3" t="s">
        <v>23</v>
      </c>
    </row>
    <row r="3871" spans="1:11" ht="42" customHeight="1">
      <c r="A3871" s="2" t="s">
        <v>9307</v>
      </c>
      <c r="B3871" s="2" t="s">
        <v>9308</v>
      </c>
      <c r="C3871" s="2" t="s">
        <v>55</v>
      </c>
      <c r="D3871" s="2" t="s">
        <v>44</v>
      </c>
      <c r="E3871" s="5">
        <v>-30011</v>
      </c>
      <c r="F3871" s="3" t="s">
        <v>313</v>
      </c>
      <c r="G3871" s="3" t="s">
        <v>82</v>
      </c>
      <c r="H3871" s="2" t="s">
        <v>21</v>
      </c>
      <c r="I3871" s="2" t="s">
        <v>9310</v>
      </c>
      <c r="J3871" s="3" t="str">
        <f>HYPERLINK("https://www.boe.es/gazeta/dias/1817/10/30/pdfs/GMD-1817-130.pdf#page=12","Abrir facsímil")</f>
        <v>Abrir facsímil</v>
      </c>
      <c r="K3871" s="3" t="s">
        <v>23</v>
      </c>
    </row>
    <row r="3872" spans="1:11" ht="42" customHeight="1">
      <c r="A3872" s="2" t="s">
        <v>9311</v>
      </c>
      <c r="B3872" s="2" t="s">
        <v>9312</v>
      </c>
      <c r="C3872" s="2" t="s">
        <v>36</v>
      </c>
      <c r="D3872" s="2" t="s">
        <v>37</v>
      </c>
      <c r="E3872" s="5">
        <v>-30065</v>
      </c>
      <c r="F3872" s="3" t="s">
        <v>201</v>
      </c>
      <c r="G3872" s="3" t="s">
        <v>20</v>
      </c>
      <c r="H3872" s="2" t="s">
        <v>21</v>
      </c>
      <c r="I3872" s="2" t="s">
        <v>9313</v>
      </c>
      <c r="J3872" s="3" t="str">
        <f>HYPERLINK("https://www.boe.es/gazeta/dias/1817/09/06/pdfs/GMD-1817-107.pdf#page=7","Abrir facsímil")</f>
        <v>Abrir facsímil</v>
      </c>
      <c r="K3872" s="3" t="s">
        <v>23</v>
      </c>
    </row>
    <row r="3873" spans="1:11" ht="42" customHeight="1">
      <c r="A3873" s="2" t="s">
        <v>9314</v>
      </c>
      <c r="B3873" s="2" t="s">
        <v>9315</v>
      </c>
      <c r="C3873" s="2" t="s">
        <v>36</v>
      </c>
      <c r="D3873" s="2" t="s">
        <v>37</v>
      </c>
      <c r="E3873" s="5">
        <v>-30261</v>
      </c>
      <c r="F3873" s="3" t="s">
        <v>226</v>
      </c>
      <c r="G3873" s="3" t="s">
        <v>57</v>
      </c>
      <c r="H3873" s="2" t="s">
        <v>21</v>
      </c>
      <c r="I3873" s="2" t="s">
        <v>9316</v>
      </c>
      <c r="J3873" s="3" t="str">
        <f>HYPERLINK("https://www.boe.es/gazeta/dias/1817/02/22/pdfs/GMD-1817-23.pdf#page=6","Abrir facsímil")</f>
        <v>Abrir facsímil</v>
      </c>
      <c r="K3873" s="3" t="s">
        <v>23</v>
      </c>
    </row>
    <row r="3874" spans="1:11" ht="42" customHeight="1">
      <c r="A3874" s="2" t="s">
        <v>9317</v>
      </c>
      <c r="B3874" s="2" t="s">
        <v>9318</v>
      </c>
      <c r="C3874" s="2" t="s">
        <v>17</v>
      </c>
      <c r="D3874" s="2" t="s">
        <v>18</v>
      </c>
      <c r="E3874" s="5">
        <v>-29985</v>
      </c>
      <c r="F3874" s="3" t="s">
        <v>76</v>
      </c>
      <c r="G3874" s="3" t="s">
        <v>112</v>
      </c>
      <c r="H3874" s="2" t="s">
        <v>21</v>
      </c>
      <c r="I3874" s="2" t="s">
        <v>9319</v>
      </c>
      <c r="J3874" s="3" t="str">
        <f>HYPERLINK("https://www.boe.es/gazeta/dias/1817/11/25/pdfs/GMD-1817-141.pdf#page=11","Abrir facsímil")</f>
        <v>Abrir facsímil</v>
      </c>
      <c r="K3874" s="3" t="s">
        <v>23</v>
      </c>
    </row>
    <row r="3875" spans="1:11" ht="42" customHeight="1">
      <c r="A3875" s="2" t="s">
        <v>9320</v>
      </c>
      <c r="B3875" s="2" t="s">
        <v>9321</v>
      </c>
      <c r="C3875" s="2" t="s">
        <v>43</v>
      </c>
      <c r="D3875" s="2" t="s">
        <v>44</v>
      </c>
      <c r="E3875" s="5">
        <v>-30013</v>
      </c>
      <c r="F3875" s="3" t="s">
        <v>464</v>
      </c>
      <c r="G3875" s="3" t="s">
        <v>39</v>
      </c>
      <c r="H3875" s="2" t="s">
        <v>21</v>
      </c>
      <c r="I3875" s="2" t="s">
        <v>9322</v>
      </c>
      <c r="J3875" s="3" t="str">
        <f>HYPERLINK("https://www.boe.es/gazeta/dias/1817/10/28/pdfs/GMD-1817-129.pdf#page=5","Abrir facsímil")</f>
        <v>Abrir facsímil</v>
      </c>
      <c r="K3875" s="3" t="s">
        <v>23</v>
      </c>
    </row>
    <row r="3876" spans="1:11" ht="42" customHeight="1">
      <c r="A3876" s="2" t="s">
        <v>9323</v>
      </c>
      <c r="B3876" s="2" t="s">
        <v>9324</v>
      </c>
      <c r="C3876" s="2" t="s">
        <v>36</v>
      </c>
      <c r="D3876" s="2" t="s">
        <v>37</v>
      </c>
      <c r="E3876" s="5">
        <v>-29988</v>
      </c>
      <c r="F3876" s="3" t="s">
        <v>569</v>
      </c>
      <c r="G3876" s="3" t="s">
        <v>20</v>
      </c>
      <c r="H3876" s="2" t="s">
        <v>21</v>
      </c>
      <c r="I3876" s="2" t="s">
        <v>9325</v>
      </c>
      <c r="J3876" s="3" t="str">
        <f>HYPERLINK("https://www.boe.es/gazeta/dias/1817/11/22/pdfs/GMD-1817-140.pdf#page=7","Abrir facsímil")</f>
        <v>Abrir facsímil</v>
      </c>
      <c r="K3876" s="3" t="s">
        <v>23</v>
      </c>
    </row>
    <row r="3877" spans="1:11" ht="42" customHeight="1">
      <c r="A3877" s="2" t="s">
        <v>9326</v>
      </c>
      <c r="B3877" s="2" t="s">
        <v>9327</v>
      </c>
      <c r="C3877" s="2" t="s">
        <v>17</v>
      </c>
      <c r="D3877" s="2" t="s">
        <v>18</v>
      </c>
      <c r="E3877" s="5">
        <v>-30277</v>
      </c>
      <c r="F3877" s="3" t="s">
        <v>3822</v>
      </c>
      <c r="G3877" s="3" t="s">
        <v>77</v>
      </c>
      <c r="H3877" s="2" t="s">
        <v>27</v>
      </c>
      <c r="I3877" s="2" t="s">
        <v>9328</v>
      </c>
      <c r="J3877" s="3" t="str">
        <f>HYPERLINK("https://www.boe.es/gazeta/dias/1817/02/06/pdfs/GMD-1817-16.pdf#page=8","Abrir facsímil")</f>
        <v>Abrir facsímil</v>
      </c>
      <c r="K3877" s="3" t="s">
        <v>29</v>
      </c>
    </row>
    <row r="3878" spans="1:11" ht="42" customHeight="1">
      <c r="A3878" s="2" t="s">
        <v>9329</v>
      </c>
      <c r="B3878" s="2" t="s">
        <v>9330</v>
      </c>
      <c r="C3878" s="2" t="s">
        <v>49</v>
      </c>
      <c r="D3878" s="2" t="s">
        <v>44</v>
      </c>
      <c r="E3878" s="5">
        <v>-30137</v>
      </c>
      <c r="F3878" s="3" t="s">
        <v>935</v>
      </c>
      <c r="G3878" s="3" t="s">
        <v>20</v>
      </c>
      <c r="H3878" s="2" t="s">
        <v>21</v>
      </c>
      <c r="I3878" s="2" t="s">
        <v>9331</v>
      </c>
      <c r="J3878" s="3" t="str">
        <f>HYPERLINK("https://www.boe.es/gazeta/dias/1817/06/26/pdfs/GMD-1817-76.pdf#page=7","Abrir facsímil")</f>
        <v>Abrir facsímil</v>
      </c>
      <c r="K3878" s="3" t="s">
        <v>23</v>
      </c>
    </row>
    <row r="3879" spans="1:11" ht="42" customHeight="1">
      <c r="A3879" s="2" t="s">
        <v>9329</v>
      </c>
      <c r="B3879" s="2" t="s">
        <v>9330</v>
      </c>
      <c r="C3879" s="2" t="s">
        <v>36</v>
      </c>
      <c r="D3879" s="2" t="s">
        <v>37</v>
      </c>
      <c r="E3879" s="5">
        <v>-30060</v>
      </c>
      <c r="F3879" s="3" t="s">
        <v>446</v>
      </c>
      <c r="G3879" s="3" t="s">
        <v>20</v>
      </c>
      <c r="H3879" s="2" t="s">
        <v>21</v>
      </c>
      <c r="I3879" s="2" t="s">
        <v>9332</v>
      </c>
      <c r="J3879" s="3" t="str">
        <f>HYPERLINK("https://www.boe.es/gazeta/dias/1817/09/11/pdfs/GMD-1817-109.pdf#page=7","Abrir facsímil")</f>
        <v>Abrir facsímil</v>
      </c>
      <c r="K3879" s="3" t="s">
        <v>23</v>
      </c>
    </row>
    <row r="3880" spans="1:11" ht="42" customHeight="1">
      <c r="A3880" s="2" t="s">
        <v>9333</v>
      </c>
      <c r="B3880" s="2" t="s">
        <v>9334</v>
      </c>
      <c r="C3880" s="2" t="s">
        <v>17</v>
      </c>
      <c r="D3880" s="2" t="s">
        <v>18</v>
      </c>
      <c r="E3880" s="5">
        <v>-30121</v>
      </c>
      <c r="F3880" s="3" t="s">
        <v>851</v>
      </c>
      <c r="G3880" s="3" t="s">
        <v>77</v>
      </c>
      <c r="H3880" s="2" t="s">
        <v>21</v>
      </c>
      <c r="I3880" s="2" t="s">
        <v>9335</v>
      </c>
      <c r="J3880" s="3" t="str">
        <f>HYPERLINK("https://www.boe.es/gazeta/dias/1817/07/12/pdfs/GMD-1817-83.pdf#page=8","Abrir facsímil")</f>
        <v>Abrir facsímil</v>
      </c>
      <c r="K3880" s="3" t="s">
        <v>23</v>
      </c>
    </row>
    <row r="3881" spans="1:11" ht="42" customHeight="1">
      <c r="A3881" s="2" t="s">
        <v>9336</v>
      </c>
      <c r="B3881" s="2" t="s">
        <v>9337</v>
      </c>
      <c r="C3881" s="2" t="s">
        <v>43</v>
      </c>
      <c r="D3881" s="2" t="s">
        <v>44</v>
      </c>
      <c r="E3881" s="5">
        <v>-29978</v>
      </c>
      <c r="F3881" s="3" t="s">
        <v>478</v>
      </c>
      <c r="G3881" s="3" t="s">
        <v>77</v>
      </c>
      <c r="H3881" s="2" t="s">
        <v>21</v>
      </c>
      <c r="I3881" s="2" t="s">
        <v>9338</v>
      </c>
      <c r="J3881" s="3" t="str">
        <f>HYPERLINK("https://www.boe.es/gazeta/dias/1817/12/02/pdfs/GMD-1817-144.pdf#page=8","Abrir facsímil")</f>
        <v>Abrir facsímil</v>
      </c>
      <c r="K3881" s="3" t="s">
        <v>23</v>
      </c>
    </row>
    <row r="3882" spans="1:11" ht="42" customHeight="1">
      <c r="A3882" s="2" t="s">
        <v>9339</v>
      </c>
      <c r="B3882" s="2" t="s">
        <v>9340</v>
      </c>
      <c r="C3882" s="2" t="s">
        <v>43</v>
      </c>
      <c r="D3882" s="2" t="s">
        <v>44</v>
      </c>
      <c r="E3882" s="5">
        <v>-30079</v>
      </c>
      <c r="F3882" s="3" t="s">
        <v>45</v>
      </c>
      <c r="G3882" s="3" t="s">
        <v>39</v>
      </c>
      <c r="H3882" s="2" t="s">
        <v>21</v>
      </c>
      <c r="I3882" s="2" t="s">
        <v>9341</v>
      </c>
      <c r="J3882" s="3" t="str">
        <f>HYPERLINK("https://www.boe.es/gazeta/dias/1817/08/23/pdfs/GMD-1817-101.pdf#page=5","Abrir facsímil")</f>
        <v>Abrir facsímil</v>
      </c>
      <c r="K3882" s="3" t="s">
        <v>23</v>
      </c>
    </row>
    <row r="3883" spans="1:11" ht="42" customHeight="1">
      <c r="A3883" s="2" t="s">
        <v>9342</v>
      </c>
      <c r="B3883" s="2" t="s">
        <v>9343</v>
      </c>
      <c r="C3883" s="2" t="s">
        <v>17</v>
      </c>
      <c r="D3883" s="2" t="s">
        <v>18</v>
      </c>
      <c r="E3883" s="5">
        <v>-30069</v>
      </c>
      <c r="F3883" s="3" t="s">
        <v>817</v>
      </c>
      <c r="G3883" s="3" t="s">
        <v>144</v>
      </c>
      <c r="H3883" s="2" t="s">
        <v>21</v>
      </c>
      <c r="I3883" s="2" t="s">
        <v>9344</v>
      </c>
      <c r="J3883" s="3" t="str">
        <f>HYPERLINK("https://www.boe.es/gazeta/dias/1817/09/02/pdfs/GMD-1817-105.pdf#page=4","Abrir facsímil")</f>
        <v>Abrir facsímil</v>
      </c>
      <c r="K3883" s="3" t="s">
        <v>23</v>
      </c>
    </row>
    <row r="3884" spans="1:11" ht="42" customHeight="1">
      <c r="A3884" s="2" t="s">
        <v>9345</v>
      </c>
      <c r="B3884" s="2" t="s">
        <v>9346</v>
      </c>
      <c r="C3884" s="2" t="s">
        <v>55</v>
      </c>
      <c r="D3884" s="2" t="s">
        <v>44</v>
      </c>
      <c r="E3884" s="5">
        <v>-29990</v>
      </c>
      <c r="F3884" s="3" t="s">
        <v>542</v>
      </c>
      <c r="G3884" s="3" t="s">
        <v>77</v>
      </c>
      <c r="H3884" s="2" t="s">
        <v>21</v>
      </c>
      <c r="I3884" s="2" t="s">
        <v>9347</v>
      </c>
      <c r="J3884" s="3" t="str">
        <f>HYPERLINK("https://www.boe.es/gazeta/dias/1817/11/20/pdfs/GMD-1817-139.pdf#page=8","Abrir facsímil")</f>
        <v>Abrir facsímil</v>
      </c>
      <c r="K3884" s="3" t="s">
        <v>23</v>
      </c>
    </row>
    <row r="3885" spans="1:11" ht="42" customHeight="1">
      <c r="A3885" s="2" t="s">
        <v>9348</v>
      </c>
      <c r="B3885" s="2" t="s">
        <v>9349</v>
      </c>
      <c r="C3885" s="2" t="s">
        <v>17</v>
      </c>
      <c r="D3885" s="2" t="s">
        <v>18</v>
      </c>
      <c r="E3885" s="5">
        <v>-30076</v>
      </c>
      <c r="F3885" s="3" t="s">
        <v>439</v>
      </c>
      <c r="G3885" s="3" t="s">
        <v>57</v>
      </c>
      <c r="H3885" s="2" t="s">
        <v>27</v>
      </c>
      <c r="I3885" s="2" t="s">
        <v>9350</v>
      </c>
      <c r="J3885" s="3" t="str">
        <f>HYPERLINK("https://www.boe.es/gazeta/dias/1817/08/26/pdfs/GMD-1817-102.pdf#page=6","Abrir facsímil")</f>
        <v>Abrir facsímil</v>
      </c>
      <c r="K3885" s="3" t="s">
        <v>29</v>
      </c>
    </row>
    <row r="3886" spans="1:11" ht="42" customHeight="1">
      <c r="A3886" s="2" t="s">
        <v>9351</v>
      </c>
      <c r="B3886" s="2" t="s">
        <v>9352</v>
      </c>
      <c r="C3886" s="2" t="s">
        <v>36</v>
      </c>
      <c r="D3886" s="2" t="s">
        <v>37</v>
      </c>
      <c r="E3886" s="5">
        <v>-29985</v>
      </c>
      <c r="F3886" s="3" t="s">
        <v>76</v>
      </c>
      <c r="G3886" s="3" t="s">
        <v>144</v>
      </c>
      <c r="H3886" s="2" t="s">
        <v>21</v>
      </c>
      <c r="I3886" s="2" t="s">
        <v>9353</v>
      </c>
      <c r="J3886" s="3" t="str">
        <f>HYPERLINK("https://www.boe.es/gazeta/dias/1817/11/25/pdfs/GMD-1817-141.pdf#page=4","Abrir facsímil")</f>
        <v>Abrir facsímil</v>
      </c>
      <c r="K3886" s="3" t="s">
        <v>23</v>
      </c>
    </row>
    <row r="3887" spans="1:11" ht="42" customHeight="1">
      <c r="A3887" s="2" t="s">
        <v>9354</v>
      </c>
      <c r="B3887" s="2" t="s">
        <v>9355</v>
      </c>
      <c r="C3887" s="2" t="s">
        <v>43</v>
      </c>
      <c r="D3887" s="2" t="s">
        <v>44</v>
      </c>
      <c r="E3887" s="5">
        <v>-29985</v>
      </c>
      <c r="F3887" s="3" t="s">
        <v>76</v>
      </c>
      <c r="G3887" s="3" t="s">
        <v>39</v>
      </c>
      <c r="H3887" s="2" t="s">
        <v>21</v>
      </c>
      <c r="I3887" s="2" t="s">
        <v>9356</v>
      </c>
      <c r="J3887" s="3" t="str">
        <f>HYPERLINK("https://www.boe.es/gazeta/dias/1817/11/25/pdfs/GMD-1817-141.pdf#page=5","Abrir facsímil")</f>
        <v>Abrir facsímil</v>
      </c>
      <c r="K3887" s="3" t="s">
        <v>23</v>
      </c>
    </row>
    <row r="3888" spans="1:11" ht="42" customHeight="1">
      <c r="A3888" s="2" t="s">
        <v>9357</v>
      </c>
      <c r="B3888" s="2" t="s">
        <v>9358</v>
      </c>
      <c r="C3888" s="2" t="s">
        <v>138</v>
      </c>
      <c r="D3888" s="2" t="s">
        <v>44</v>
      </c>
      <c r="E3888" s="5">
        <v>-30188</v>
      </c>
      <c r="F3888" s="3" t="s">
        <v>177</v>
      </c>
      <c r="G3888" s="3" t="s">
        <v>77</v>
      </c>
      <c r="H3888" s="2" t="s">
        <v>21</v>
      </c>
      <c r="I3888" s="2" t="s">
        <v>9359</v>
      </c>
      <c r="J3888" s="3" t="str">
        <f>HYPERLINK("https://www.boe.es/gazeta/dias/1817/05/06/pdfs/GMD-1817-54.pdf#page=8","Abrir facsímil")</f>
        <v>Abrir facsímil</v>
      </c>
      <c r="K3888" s="3" t="s">
        <v>23</v>
      </c>
    </row>
    <row r="3889" spans="1:11" ht="42" customHeight="1">
      <c r="A3889" s="2" t="s">
        <v>9360</v>
      </c>
      <c r="B3889" s="2" t="s">
        <v>9361</v>
      </c>
      <c r="C3889" s="2" t="s">
        <v>43</v>
      </c>
      <c r="D3889" s="2" t="s">
        <v>44</v>
      </c>
      <c r="E3889" s="5">
        <v>-30286</v>
      </c>
      <c r="F3889" s="3" t="s">
        <v>354</v>
      </c>
      <c r="G3889" s="3" t="s">
        <v>1580</v>
      </c>
      <c r="H3889" s="2" t="s">
        <v>21</v>
      </c>
      <c r="I3889" s="2" t="s">
        <v>9362</v>
      </c>
      <c r="J3889" s="3" t="str">
        <f>HYPERLINK("https://www.boe.es/gazeta/dias/1817/01/28/pdfs/GMD-1817-12.pdf#page=5","Abrir facsímil")</f>
        <v>Abrir facsímil</v>
      </c>
      <c r="K3889" s="3" t="s">
        <v>23</v>
      </c>
    </row>
    <row r="3890" spans="1:11" ht="42" customHeight="1">
      <c r="A3890" s="2" t="s">
        <v>9363</v>
      </c>
      <c r="B3890" s="2" t="s">
        <v>9364</v>
      </c>
      <c r="C3890" s="2" t="s">
        <v>36</v>
      </c>
      <c r="D3890" s="2" t="s">
        <v>37</v>
      </c>
      <c r="E3890" s="5">
        <v>-30151</v>
      </c>
      <c r="F3890" s="3" t="s">
        <v>1422</v>
      </c>
      <c r="G3890" s="3" t="s">
        <v>39</v>
      </c>
      <c r="H3890" s="2" t="s">
        <v>21</v>
      </c>
      <c r="I3890" s="2" t="s">
        <v>9365</v>
      </c>
      <c r="J3890" s="3" t="str">
        <f>HYPERLINK("https://www.boe.es/gazeta/dias/1817/06/12/pdfs/GMD-1817-70.pdf#page=5","Abrir facsímil")</f>
        <v>Abrir facsímil</v>
      </c>
      <c r="K3890" s="3" t="s">
        <v>23</v>
      </c>
    </row>
    <row r="3891" spans="1:11" ht="42" customHeight="1">
      <c r="A3891" s="2" t="s">
        <v>9366</v>
      </c>
      <c r="B3891" s="2" t="s">
        <v>9367</v>
      </c>
      <c r="C3891" s="2" t="s">
        <v>49</v>
      </c>
      <c r="D3891" s="2" t="s">
        <v>44</v>
      </c>
      <c r="E3891" s="5">
        <v>-30242</v>
      </c>
      <c r="F3891" s="3" t="s">
        <v>62</v>
      </c>
      <c r="G3891" s="3" t="s">
        <v>77</v>
      </c>
      <c r="H3891" s="2" t="s">
        <v>21</v>
      </c>
      <c r="I3891" s="2" t="s">
        <v>9368</v>
      </c>
      <c r="J3891" s="3" t="str">
        <f>HYPERLINK("https://www.boe.es/gazeta/dias/1817/03/13/pdfs/GMD-1817-31.pdf#page=8","Abrir facsímil")</f>
        <v>Abrir facsímil</v>
      </c>
      <c r="K3891" s="3" t="s">
        <v>23</v>
      </c>
    </row>
    <row r="3892" spans="1:11" ht="42" customHeight="1">
      <c r="A3892" s="2" t="s">
        <v>9369</v>
      </c>
      <c r="B3892" s="2" t="s">
        <v>9370</v>
      </c>
      <c r="C3892" s="2" t="s">
        <v>55</v>
      </c>
      <c r="D3892" s="2" t="s">
        <v>44</v>
      </c>
      <c r="E3892" s="5">
        <v>-30263</v>
      </c>
      <c r="F3892" s="3" t="s">
        <v>1794</v>
      </c>
      <c r="G3892" s="3" t="s">
        <v>20</v>
      </c>
      <c r="H3892" s="2" t="s">
        <v>21</v>
      </c>
      <c r="I3892" s="2" t="s">
        <v>9371</v>
      </c>
      <c r="J3892" s="3" t="str">
        <f>HYPERLINK("https://www.boe.es/gazeta/dias/1817/02/20/pdfs/GMD-1817-22.pdf#page=7","Abrir facsímil")</f>
        <v>Abrir facsímil</v>
      </c>
      <c r="K3892" s="3" t="s">
        <v>23</v>
      </c>
    </row>
    <row r="3893" spans="1:11" ht="42" customHeight="1">
      <c r="A3893" s="2" t="s">
        <v>9372</v>
      </c>
      <c r="B3893" s="2" t="s">
        <v>9373</v>
      </c>
      <c r="C3893" s="2" t="s">
        <v>36</v>
      </c>
      <c r="D3893" s="2" t="s">
        <v>37</v>
      </c>
      <c r="E3893" s="5">
        <v>-30202</v>
      </c>
      <c r="F3893" s="3" t="s">
        <v>418</v>
      </c>
      <c r="G3893" s="3" t="s">
        <v>77</v>
      </c>
      <c r="H3893" s="2" t="s">
        <v>27</v>
      </c>
      <c r="I3893" s="2" t="s">
        <v>9374</v>
      </c>
      <c r="J3893" s="3" t="str">
        <f>HYPERLINK("https://www.boe.es/gazeta/dias/1817/04/22/pdfs/GMD-1817-48.pdf#page=8","Abrir facsímil")</f>
        <v>Abrir facsímil</v>
      </c>
      <c r="K3893" s="3" t="s">
        <v>29</v>
      </c>
    </row>
    <row r="3894" spans="1:11" ht="42" customHeight="1">
      <c r="A3894" s="2" t="s">
        <v>9375</v>
      </c>
      <c r="B3894" s="2" t="s">
        <v>9376</v>
      </c>
      <c r="C3894" s="2" t="s">
        <v>17</v>
      </c>
      <c r="D3894" s="2" t="s">
        <v>18</v>
      </c>
      <c r="E3894" s="5">
        <v>-30298</v>
      </c>
      <c r="F3894" s="3" t="s">
        <v>489</v>
      </c>
      <c r="G3894" s="3" t="s">
        <v>644</v>
      </c>
      <c r="H3894" s="2" t="s">
        <v>21</v>
      </c>
      <c r="I3894" s="2" t="s">
        <v>9377</v>
      </c>
      <c r="J3894" s="3" t="str">
        <f>HYPERLINK("https://www.boe.es/gazeta/dias/1817/01/16/pdfs/GMD-1817-7.pdf#page=5","Abrir facsímil")</f>
        <v>Abrir facsímil</v>
      </c>
      <c r="K3894" s="3" t="s">
        <v>23</v>
      </c>
    </row>
    <row r="3895" spans="1:11" ht="42" customHeight="1">
      <c r="A3895" s="2" t="s">
        <v>9378</v>
      </c>
      <c r="B3895" s="2" t="s">
        <v>9379</v>
      </c>
      <c r="C3895" s="2" t="s">
        <v>55</v>
      </c>
      <c r="D3895" s="2" t="s">
        <v>44</v>
      </c>
      <c r="E3895" s="5">
        <v>-30270</v>
      </c>
      <c r="F3895" s="3" t="s">
        <v>341</v>
      </c>
      <c r="G3895" s="3" t="s">
        <v>144</v>
      </c>
      <c r="H3895" s="2" t="s">
        <v>21</v>
      </c>
      <c r="I3895" s="2" t="s">
        <v>9380</v>
      </c>
      <c r="J3895" s="3" t="str">
        <f>HYPERLINK("https://www.boe.es/gazeta/dias/1817/02/13/pdfs/GMD-1817-19.pdf#page=4","Abrir facsímil")</f>
        <v>Abrir facsímil</v>
      </c>
      <c r="K3895" s="3" t="s">
        <v>23</v>
      </c>
    </row>
    <row r="3896" spans="1:11" ht="42" customHeight="1">
      <c r="A3896" s="2" t="s">
        <v>9381</v>
      </c>
      <c r="B3896" s="2" t="s">
        <v>9382</v>
      </c>
      <c r="C3896" s="2" t="s">
        <v>36</v>
      </c>
      <c r="D3896" s="2" t="s">
        <v>37</v>
      </c>
      <c r="E3896" s="5">
        <v>-30009</v>
      </c>
      <c r="F3896" s="3" t="s">
        <v>512</v>
      </c>
      <c r="G3896" s="3" t="s">
        <v>39</v>
      </c>
      <c r="H3896" s="2" t="s">
        <v>21</v>
      </c>
      <c r="I3896" s="2" t="s">
        <v>9383</v>
      </c>
      <c r="J3896" s="3" t="str">
        <f>HYPERLINK("https://www.boe.es/gazeta/dias/1817/11/01/pdfs/GMD-1817-131.pdf#page=5","Abrir facsímil")</f>
        <v>Abrir facsímil</v>
      </c>
      <c r="K3896" s="3" t="s">
        <v>23</v>
      </c>
    </row>
    <row r="3897" spans="1:11" ht="42" customHeight="1">
      <c r="A3897" s="2" t="s">
        <v>9384</v>
      </c>
      <c r="B3897" s="2" t="s">
        <v>9385</v>
      </c>
      <c r="C3897" s="2" t="s">
        <v>36</v>
      </c>
      <c r="D3897" s="2" t="s">
        <v>37</v>
      </c>
      <c r="E3897" s="5">
        <v>-30160</v>
      </c>
      <c r="F3897" s="3" t="s">
        <v>116</v>
      </c>
      <c r="G3897" s="3" t="s">
        <v>144</v>
      </c>
      <c r="H3897" s="2" t="s">
        <v>21</v>
      </c>
      <c r="I3897" s="2" t="s">
        <v>9386</v>
      </c>
      <c r="J3897" s="3" t="str">
        <f>HYPERLINK("https://www.boe.es/gazeta/dias/1817/06/03/pdfs/GMD-1817-66.pdf#page=4","Abrir facsímil")</f>
        <v>Abrir facsímil</v>
      </c>
      <c r="K3897" s="3" t="s">
        <v>23</v>
      </c>
    </row>
    <row r="3898" spans="1:11" ht="42" customHeight="1">
      <c r="A3898" s="2" t="s">
        <v>9384</v>
      </c>
      <c r="B3898" s="2" t="s">
        <v>9385</v>
      </c>
      <c r="C3898" s="2" t="s">
        <v>36</v>
      </c>
      <c r="D3898" s="2" t="s">
        <v>37</v>
      </c>
      <c r="E3898" s="5">
        <v>-30009</v>
      </c>
      <c r="F3898" s="3" t="s">
        <v>512</v>
      </c>
      <c r="G3898" s="3" t="s">
        <v>39</v>
      </c>
      <c r="H3898" s="2" t="s">
        <v>21</v>
      </c>
      <c r="I3898" s="2" t="s">
        <v>9387</v>
      </c>
      <c r="J3898" s="3" t="str">
        <f>HYPERLINK("https://www.boe.es/gazeta/dias/1817/11/01/pdfs/GMD-1817-131.pdf#page=5","Abrir facsímil")</f>
        <v>Abrir facsímil</v>
      </c>
      <c r="K3898" s="3" t="s">
        <v>23</v>
      </c>
    </row>
    <row r="3899" spans="1:11" ht="42" customHeight="1">
      <c r="A3899" s="2" t="s">
        <v>9388</v>
      </c>
      <c r="B3899" s="2" t="s">
        <v>9389</v>
      </c>
      <c r="C3899" s="2" t="s">
        <v>36</v>
      </c>
      <c r="D3899" s="2" t="s">
        <v>37</v>
      </c>
      <c r="E3899" s="5">
        <v>-30310</v>
      </c>
      <c r="F3899" s="3" t="s">
        <v>93</v>
      </c>
      <c r="G3899" s="3" t="s">
        <v>57</v>
      </c>
      <c r="H3899" s="2" t="s">
        <v>21</v>
      </c>
      <c r="I3899" s="2" t="s">
        <v>9390</v>
      </c>
      <c r="J3899" s="3" t="str">
        <f>HYPERLINK("https://www.boe.es/gazeta/dias/1817/01/04/pdfs/GMD-1817-2.pdf#page=6","Abrir facsímil")</f>
        <v>Abrir facsímil</v>
      </c>
      <c r="K3899" s="3" t="s">
        <v>23</v>
      </c>
    </row>
    <row r="3900" spans="1:11" ht="42" customHeight="1">
      <c r="A3900" s="2" t="s">
        <v>9391</v>
      </c>
      <c r="B3900" s="2" t="s">
        <v>9392</v>
      </c>
      <c r="C3900" s="2" t="s">
        <v>36</v>
      </c>
      <c r="D3900" s="2" t="s">
        <v>37</v>
      </c>
      <c r="E3900" s="5">
        <v>-30165</v>
      </c>
      <c r="F3900" s="3" t="s">
        <v>2040</v>
      </c>
      <c r="G3900" s="3" t="s">
        <v>77</v>
      </c>
      <c r="H3900" s="2" t="s">
        <v>21</v>
      </c>
      <c r="I3900" s="2" t="s">
        <v>9393</v>
      </c>
      <c r="J3900" s="3" t="str">
        <f>HYPERLINK("https://www.boe.es/gazeta/dias/1817/05/29/pdfs/GMD-1817-64.pdf#page=8","Abrir facsímil")</f>
        <v>Abrir facsímil</v>
      </c>
      <c r="K3900" s="3" t="s">
        <v>23</v>
      </c>
    </row>
    <row r="3901" spans="1:11" ht="42" customHeight="1">
      <c r="A3901" s="2" t="s">
        <v>9394</v>
      </c>
      <c r="B3901" s="2" t="s">
        <v>9394</v>
      </c>
      <c r="C3901" s="2" t="s">
        <v>36</v>
      </c>
      <c r="D3901" s="2" t="s">
        <v>37</v>
      </c>
      <c r="E3901" s="5">
        <v>-30310</v>
      </c>
      <c r="F3901" s="3" t="s">
        <v>93</v>
      </c>
      <c r="G3901" s="3" t="s">
        <v>57</v>
      </c>
      <c r="H3901" s="2" t="s">
        <v>21</v>
      </c>
      <c r="I3901" s="2" t="s">
        <v>9395</v>
      </c>
      <c r="J3901" s="3" t="str">
        <f>HYPERLINK("https://www.boe.es/gazeta/dias/1817/01/04/pdfs/GMD-1817-2.pdf#page=6","Abrir facsímil")</f>
        <v>Abrir facsímil</v>
      </c>
      <c r="K3901" s="3" t="s">
        <v>23</v>
      </c>
    </row>
    <row r="3902" spans="1:11" ht="42" customHeight="1">
      <c r="A3902" s="2" t="s">
        <v>9394</v>
      </c>
      <c r="B3902" s="2" t="s">
        <v>9394</v>
      </c>
      <c r="C3902" s="2" t="s">
        <v>17</v>
      </c>
      <c r="D3902" s="2" t="s">
        <v>18</v>
      </c>
      <c r="E3902" s="5">
        <v>-30030</v>
      </c>
      <c r="F3902" s="3" t="s">
        <v>508</v>
      </c>
      <c r="G3902" s="3" t="s">
        <v>82</v>
      </c>
      <c r="H3902" s="2" t="s">
        <v>21</v>
      </c>
      <c r="I3902" s="2" t="s">
        <v>9396</v>
      </c>
      <c r="J3902" s="3" t="str">
        <f>HYPERLINK("https://www.boe.es/gazeta/dias/1817/10/11/pdfs/GMD-1817-122.pdf#page=12","Abrir facsímil")</f>
        <v>Abrir facsímil</v>
      </c>
      <c r="K3902" s="3" t="s">
        <v>23</v>
      </c>
    </row>
    <row r="3903" spans="1:11" ht="42" customHeight="1">
      <c r="A3903" s="2" t="s">
        <v>9394</v>
      </c>
      <c r="B3903" s="2" t="s">
        <v>9394</v>
      </c>
      <c r="C3903" s="2" t="s">
        <v>36</v>
      </c>
      <c r="D3903" s="2" t="s">
        <v>37</v>
      </c>
      <c r="E3903" s="5">
        <v>-29981</v>
      </c>
      <c r="F3903" s="3" t="s">
        <v>111</v>
      </c>
      <c r="G3903" s="3" t="s">
        <v>82</v>
      </c>
      <c r="H3903" s="2" t="s">
        <v>21</v>
      </c>
      <c r="I3903" s="2" t="s">
        <v>9397</v>
      </c>
      <c r="J3903" s="3" t="str">
        <f>HYPERLINK("https://www.boe.es/gazeta/dias/1817/11/29/pdfs/GMD-1817-143.pdf#page=12","Abrir facsímil")</f>
        <v>Abrir facsímil</v>
      </c>
      <c r="K3903" s="3" t="s">
        <v>23</v>
      </c>
    </row>
    <row r="3904" spans="1:11" ht="42" customHeight="1">
      <c r="A3904" s="2" t="s">
        <v>9398</v>
      </c>
      <c r="B3904" s="2" t="s">
        <v>9399</v>
      </c>
      <c r="C3904" s="2" t="s">
        <v>36</v>
      </c>
      <c r="D3904" s="2" t="s">
        <v>37</v>
      </c>
      <c r="E3904" s="5">
        <v>-30100</v>
      </c>
      <c r="F3904" s="3" t="s">
        <v>436</v>
      </c>
      <c r="G3904" s="3" t="s">
        <v>20</v>
      </c>
      <c r="H3904" s="2" t="s">
        <v>21</v>
      </c>
      <c r="I3904" s="2" t="s">
        <v>9400</v>
      </c>
      <c r="J3904" s="3" t="str">
        <f>HYPERLINK("https://www.boe.es/gazeta/dias/1817/08/02/pdfs/GMD-1817-92.pdf#page=7","Abrir facsímil")</f>
        <v>Abrir facsímil</v>
      </c>
      <c r="K3904" s="3" t="s">
        <v>23</v>
      </c>
    </row>
    <row r="3905" spans="1:11" ht="42" customHeight="1">
      <c r="A3905" s="2" t="s">
        <v>9401</v>
      </c>
      <c r="B3905" s="2" t="s">
        <v>9402</v>
      </c>
      <c r="C3905" s="2" t="s">
        <v>43</v>
      </c>
      <c r="D3905" s="2" t="s">
        <v>44</v>
      </c>
      <c r="E3905" s="5">
        <v>-29997</v>
      </c>
      <c r="F3905" s="3" t="s">
        <v>652</v>
      </c>
      <c r="G3905" s="3" t="s">
        <v>144</v>
      </c>
      <c r="H3905" s="2" t="s">
        <v>21</v>
      </c>
      <c r="I3905" s="2" t="s">
        <v>9403</v>
      </c>
      <c r="J3905" s="3" t="str">
        <f>HYPERLINK("https://www.boe.es/gazeta/dias/1817/11/13/pdfs/GMD-1817-136.pdf#page=4","Abrir facsímil")</f>
        <v>Abrir facsímil</v>
      </c>
      <c r="K3905" s="3" t="s">
        <v>23</v>
      </c>
    </row>
    <row r="3906" spans="1:11" ht="42" customHeight="1">
      <c r="A3906" s="2" t="s">
        <v>9404</v>
      </c>
      <c r="B3906" s="2" t="s">
        <v>9405</v>
      </c>
      <c r="C3906" s="2" t="s">
        <v>17</v>
      </c>
      <c r="D3906" s="2" t="s">
        <v>18</v>
      </c>
      <c r="E3906" s="5">
        <v>-30188</v>
      </c>
      <c r="F3906" s="3" t="s">
        <v>177</v>
      </c>
      <c r="G3906" s="3" t="s">
        <v>77</v>
      </c>
      <c r="H3906" s="2" t="s">
        <v>21</v>
      </c>
      <c r="I3906" s="2" t="s">
        <v>9406</v>
      </c>
      <c r="J3906" s="3" t="str">
        <f>HYPERLINK("https://www.boe.es/gazeta/dias/1817/05/06/pdfs/GMD-1817-54.pdf#page=8","Abrir facsímil")</f>
        <v>Abrir facsímil</v>
      </c>
      <c r="K3906" s="3" t="s">
        <v>23</v>
      </c>
    </row>
    <row r="3907" spans="1:11" ht="42" customHeight="1">
      <c r="A3907" s="2" t="s">
        <v>9407</v>
      </c>
      <c r="B3907" s="2" t="s">
        <v>9408</v>
      </c>
      <c r="C3907" s="2" t="s">
        <v>43</v>
      </c>
      <c r="D3907" s="2" t="s">
        <v>44</v>
      </c>
      <c r="E3907" s="5">
        <v>-30307</v>
      </c>
      <c r="F3907" s="3" t="s">
        <v>67</v>
      </c>
      <c r="G3907" s="3" t="s">
        <v>68</v>
      </c>
      <c r="H3907" s="2" t="s">
        <v>27</v>
      </c>
      <c r="I3907" s="2" t="s">
        <v>9409</v>
      </c>
      <c r="J3907" s="3" t="str">
        <f>HYPERLINK("https://www.boe.es/gazeta/dias/1817/01/07/pdfs/GMD-1817-3.pdf#page=8","Abrir facsímil")</f>
        <v>Abrir facsímil</v>
      </c>
      <c r="K3907" s="3" t="s">
        <v>29</v>
      </c>
    </row>
    <row r="3908" spans="1:11" ht="42" customHeight="1">
      <c r="A3908" s="2" t="s">
        <v>9410</v>
      </c>
      <c r="B3908" s="2" t="s">
        <v>9411</v>
      </c>
      <c r="C3908" s="2" t="s">
        <v>43</v>
      </c>
      <c r="D3908" s="2" t="s">
        <v>44</v>
      </c>
      <c r="E3908" s="5">
        <v>-30079</v>
      </c>
      <c r="F3908" s="3" t="s">
        <v>45</v>
      </c>
      <c r="G3908" s="3" t="s">
        <v>39</v>
      </c>
      <c r="H3908" s="2" t="s">
        <v>21</v>
      </c>
      <c r="I3908" s="2" t="s">
        <v>9412</v>
      </c>
      <c r="J3908" s="3" t="str">
        <f>HYPERLINK("https://www.boe.es/gazeta/dias/1817/08/23/pdfs/GMD-1817-101.pdf#page=5","Abrir facsímil")</f>
        <v>Abrir facsímil</v>
      </c>
      <c r="K3908" s="3" t="s">
        <v>23</v>
      </c>
    </row>
    <row r="3909" spans="1:11" ht="42" customHeight="1">
      <c r="A3909" s="2" t="s">
        <v>9413</v>
      </c>
      <c r="B3909" s="2" t="s">
        <v>9413</v>
      </c>
      <c r="C3909" s="2" t="s">
        <v>43</v>
      </c>
      <c r="D3909" s="2" t="s">
        <v>44</v>
      </c>
      <c r="E3909" s="5">
        <v>-30305</v>
      </c>
      <c r="F3909" s="3" t="s">
        <v>405</v>
      </c>
      <c r="G3909" s="3" t="s">
        <v>77</v>
      </c>
      <c r="H3909" s="2" t="s">
        <v>21</v>
      </c>
      <c r="I3909" s="2" t="s">
        <v>9414</v>
      </c>
      <c r="J3909" s="3" t="str">
        <f>HYPERLINK("https://www.boe.es/gazeta/dias/1817/01/09/pdfs/GMD-1817-4.pdf#page=8","Abrir facsímil")</f>
        <v>Abrir facsímil</v>
      </c>
      <c r="K3909" s="3" t="s">
        <v>23</v>
      </c>
    </row>
    <row r="3910" spans="1:11" ht="42" customHeight="1">
      <c r="A3910" s="2" t="s">
        <v>9413</v>
      </c>
      <c r="B3910" s="2" t="s">
        <v>9413</v>
      </c>
      <c r="C3910" s="2" t="s">
        <v>17</v>
      </c>
      <c r="D3910" s="2" t="s">
        <v>18</v>
      </c>
      <c r="E3910" s="5">
        <v>-30235</v>
      </c>
      <c r="F3910" s="3" t="s">
        <v>398</v>
      </c>
      <c r="G3910" s="3" t="s">
        <v>20</v>
      </c>
      <c r="H3910" s="2" t="s">
        <v>21</v>
      </c>
      <c r="I3910" s="2" t="s">
        <v>9415</v>
      </c>
      <c r="J3910" s="3" t="str">
        <f>HYPERLINK("https://www.boe.es/gazeta/dias/1817/03/20/pdfs/GMD-1817-34.pdf#page=7","Abrir facsímil")</f>
        <v>Abrir facsímil</v>
      </c>
      <c r="K3910" s="3" t="s">
        <v>23</v>
      </c>
    </row>
    <row r="3911" spans="1:11" ht="42" customHeight="1">
      <c r="A3911" s="2" t="s">
        <v>9416</v>
      </c>
      <c r="B3911" s="2" t="s">
        <v>9417</v>
      </c>
      <c r="C3911" s="2" t="s">
        <v>55</v>
      </c>
      <c r="D3911" s="2" t="s">
        <v>44</v>
      </c>
      <c r="E3911" s="5">
        <v>-30086</v>
      </c>
      <c r="F3911" s="3" t="s">
        <v>221</v>
      </c>
      <c r="G3911" s="3" t="s">
        <v>39</v>
      </c>
      <c r="H3911" s="2" t="s">
        <v>21</v>
      </c>
      <c r="I3911" s="2" t="s">
        <v>9418</v>
      </c>
      <c r="J3911" s="3" t="str">
        <f>HYPERLINK("https://www.boe.es/gazeta/dias/1817/08/16/pdfs/GMD-1817-98.pdf#page=5","Abrir facsímil")</f>
        <v>Abrir facsímil</v>
      </c>
      <c r="K3911" s="3" t="s">
        <v>23</v>
      </c>
    </row>
    <row r="3912" spans="1:11" ht="42" customHeight="1">
      <c r="A3912" s="2" t="s">
        <v>9419</v>
      </c>
      <c r="B3912" s="2" t="s">
        <v>9420</v>
      </c>
      <c r="C3912" s="2" t="s">
        <v>36</v>
      </c>
      <c r="D3912" s="2" t="s">
        <v>37</v>
      </c>
      <c r="E3912" s="5">
        <v>-30095</v>
      </c>
      <c r="F3912" s="3" t="s">
        <v>365</v>
      </c>
      <c r="G3912" s="3" t="s">
        <v>82</v>
      </c>
      <c r="H3912" s="2" t="s">
        <v>27</v>
      </c>
      <c r="I3912" s="2" t="s">
        <v>9421</v>
      </c>
      <c r="J3912" s="3" t="str">
        <f>HYPERLINK("https://www.boe.es/gazeta/dias/1817/08/07/pdfs/GMD-1817-94.pdf#page=12","Abrir facsímil")</f>
        <v>Abrir facsímil</v>
      </c>
      <c r="K3912" s="3" t="s">
        <v>29</v>
      </c>
    </row>
    <row r="3913" spans="1:11" ht="42" customHeight="1">
      <c r="A3913" s="2" t="s">
        <v>9422</v>
      </c>
      <c r="B3913" s="2" t="s">
        <v>9423</v>
      </c>
      <c r="C3913" s="2" t="s">
        <v>55</v>
      </c>
      <c r="D3913" s="2" t="s">
        <v>44</v>
      </c>
      <c r="E3913" s="5">
        <v>-30086</v>
      </c>
      <c r="F3913" s="3" t="s">
        <v>221</v>
      </c>
      <c r="G3913" s="3" t="s">
        <v>39</v>
      </c>
      <c r="H3913" s="2" t="s">
        <v>21</v>
      </c>
      <c r="I3913" s="2" t="s">
        <v>9424</v>
      </c>
      <c r="J3913" s="3" t="str">
        <f>HYPERLINK("https://www.boe.es/gazeta/dias/1817/08/16/pdfs/GMD-1817-98.pdf#page=5","Abrir facsímil")</f>
        <v>Abrir facsímil</v>
      </c>
      <c r="K3913" s="3" t="s">
        <v>23</v>
      </c>
    </row>
    <row r="3914" spans="1:11" ht="42" customHeight="1">
      <c r="A3914" s="2" t="s">
        <v>9425</v>
      </c>
      <c r="B3914" s="2" t="s">
        <v>9426</v>
      </c>
      <c r="C3914" s="2" t="s">
        <v>43</v>
      </c>
      <c r="D3914" s="2" t="s">
        <v>44</v>
      </c>
      <c r="E3914" s="5">
        <v>-29981</v>
      </c>
      <c r="F3914" s="3" t="s">
        <v>111</v>
      </c>
      <c r="G3914" s="3" t="s">
        <v>112</v>
      </c>
      <c r="H3914" s="2" t="s">
        <v>21</v>
      </c>
      <c r="I3914" s="2" t="s">
        <v>9427</v>
      </c>
      <c r="J3914" s="3" t="str">
        <f>HYPERLINK("https://www.boe.es/gazeta/dias/1817/11/29/pdfs/GMD-1817-143.pdf#page=11","Abrir facsímil")</f>
        <v>Abrir facsímil</v>
      </c>
      <c r="K3914" s="3" t="s">
        <v>23</v>
      </c>
    </row>
    <row r="3915" spans="1:11" ht="42" customHeight="1">
      <c r="A3915" s="2" t="s">
        <v>9428</v>
      </c>
      <c r="B3915" s="2" t="s">
        <v>9429</v>
      </c>
      <c r="C3915" s="2" t="s">
        <v>17</v>
      </c>
      <c r="D3915" s="2" t="s">
        <v>18</v>
      </c>
      <c r="E3915" s="5">
        <v>-30100</v>
      </c>
      <c r="F3915" s="3" t="s">
        <v>436</v>
      </c>
      <c r="G3915" s="3" t="s">
        <v>77</v>
      </c>
      <c r="H3915" s="2" t="s">
        <v>21</v>
      </c>
      <c r="I3915" s="2" t="s">
        <v>9430</v>
      </c>
      <c r="J3915" s="3" t="str">
        <f>HYPERLINK("https://www.boe.es/gazeta/dias/1817/08/02/pdfs/GMD-1817-92.pdf#page=8","Abrir facsímil")</f>
        <v>Abrir facsímil</v>
      </c>
      <c r="K3915" s="3" t="s">
        <v>23</v>
      </c>
    </row>
    <row r="3916" spans="1:11" ht="42" customHeight="1">
      <c r="A3916" s="2" t="s">
        <v>9431</v>
      </c>
      <c r="B3916" s="2" t="s">
        <v>9432</v>
      </c>
      <c r="C3916" s="2" t="s">
        <v>17</v>
      </c>
      <c r="D3916" s="2" t="s">
        <v>18</v>
      </c>
      <c r="E3916" s="5">
        <v>-30202</v>
      </c>
      <c r="F3916" s="3" t="s">
        <v>418</v>
      </c>
      <c r="G3916" s="3" t="s">
        <v>77</v>
      </c>
      <c r="H3916" s="2" t="s">
        <v>21</v>
      </c>
      <c r="I3916" s="2" t="s">
        <v>9433</v>
      </c>
      <c r="J3916" s="3" t="str">
        <f>HYPERLINK("https://www.boe.es/gazeta/dias/1817/04/22/pdfs/GMD-1817-48.pdf#page=8","Abrir facsímil")</f>
        <v>Abrir facsímil</v>
      </c>
      <c r="K3916" s="3" t="s">
        <v>23</v>
      </c>
    </row>
    <row r="3917" spans="1:11" ht="42" customHeight="1">
      <c r="A3917" s="2" t="s">
        <v>9431</v>
      </c>
      <c r="B3917" s="2" t="s">
        <v>9432</v>
      </c>
      <c r="C3917" s="2" t="s">
        <v>17</v>
      </c>
      <c r="D3917" s="2" t="s">
        <v>18</v>
      </c>
      <c r="E3917" s="5">
        <v>-30160</v>
      </c>
      <c r="F3917" s="3" t="s">
        <v>116</v>
      </c>
      <c r="G3917" s="3" t="s">
        <v>427</v>
      </c>
      <c r="H3917" s="2" t="s">
        <v>21</v>
      </c>
      <c r="I3917" s="2" t="s">
        <v>9434</v>
      </c>
      <c r="J3917" s="3" t="str">
        <f>HYPERLINK("https://www.boe.es/gazeta/dias/1817/06/03/pdfs/GMD-1817-66.pdf#page=8","Abrir facsímil")</f>
        <v>Abrir facsímil</v>
      </c>
      <c r="K3917" s="3" t="s">
        <v>23</v>
      </c>
    </row>
    <row r="3918" spans="1:11" ht="42" customHeight="1">
      <c r="A3918" s="2" t="s">
        <v>9431</v>
      </c>
      <c r="B3918" s="2" t="s">
        <v>9432</v>
      </c>
      <c r="C3918" s="2" t="s">
        <v>17</v>
      </c>
      <c r="D3918" s="2" t="s">
        <v>18</v>
      </c>
      <c r="E3918" s="5">
        <v>-30135</v>
      </c>
      <c r="F3918" s="3" t="s">
        <v>239</v>
      </c>
      <c r="G3918" s="3" t="s">
        <v>240</v>
      </c>
      <c r="H3918" s="2" t="s">
        <v>21</v>
      </c>
      <c r="I3918" s="2" t="s">
        <v>9435</v>
      </c>
      <c r="J3918" s="3" t="str">
        <f>HYPERLINK("https://www.boe.es/gazeta/dias/1817/06/28/pdfs/GMD-1817-77.pdf#page=7","Abrir facsímil")</f>
        <v>Abrir facsímil</v>
      </c>
      <c r="K3918" s="3" t="s">
        <v>23</v>
      </c>
    </row>
    <row r="3919" spans="1:11" ht="42" customHeight="1">
      <c r="A3919" s="2" t="s">
        <v>9431</v>
      </c>
      <c r="B3919" s="2" t="s">
        <v>9432</v>
      </c>
      <c r="C3919" s="2" t="s">
        <v>36</v>
      </c>
      <c r="D3919" s="2" t="s">
        <v>37</v>
      </c>
      <c r="E3919" s="5">
        <v>-30109</v>
      </c>
      <c r="F3919" s="3" t="s">
        <v>205</v>
      </c>
      <c r="G3919" s="3" t="s">
        <v>206</v>
      </c>
      <c r="H3919" s="2" t="s">
        <v>21</v>
      </c>
      <c r="I3919" s="2" t="s">
        <v>9436</v>
      </c>
      <c r="J3919" s="3" t="str">
        <f>HYPERLINK("https://www.boe.es/gazeta/dias/1817/07/24/pdfs/GMD-1817-88.pdf#page=16","Abrir facsímil")</f>
        <v>Abrir facsímil</v>
      </c>
      <c r="K3919" s="3" t="s">
        <v>23</v>
      </c>
    </row>
    <row r="3920" spans="1:11" ht="42" customHeight="1">
      <c r="A3920" s="2" t="s">
        <v>9431</v>
      </c>
      <c r="B3920" s="2" t="s">
        <v>9432</v>
      </c>
      <c r="C3920" s="2" t="s">
        <v>17</v>
      </c>
      <c r="D3920" s="2" t="s">
        <v>18</v>
      </c>
      <c r="E3920" s="5">
        <v>-30027</v>
      </c>
      <c r="F3920" s="3" t="s">
        <v>173</v>
      </c>
      <c r="G3920" s="3" t="s">
        <v>20</v>
      </c>
      <c r="H3920" s="2" t="s">
        <v>21</v>
      </c>
      <c r="I3920" s="2" t="s">
        <v>9437</v>
      </c>
      <c r="J3920" s="3" t="str">
        <f>HYPERLINK("https://www.boe.es/gazeta/dias/1817/10/14/pdfs/GMD-1817-123.pdf#page=7","Abrir facsímil")</f>
        <v>Abrir facsímil</v>
      </c>
      <c r="K3920" s="3" t="s">
        <v>23</v>
      </c>
    </row>
    <row r="3921" spans="1:11" ht="42" customHeight="1">
      <c r="A3921" s="2" t="s">
        <v>9431</v>
      </c>
      <c r="B3921" s="2" t="s">
        <v>9432</v>
      </c>
      <c r="C3921" s="2" t="s">
        <v>43</v>
      </c>
      <c r="D3921" s="2" t="s">
        <v>44</v>
      </c>
      <c r="E3921" s="5">
        <v>-30013</v>
      </c>
      <c r="F3921" s="3" t="s">
        <v>464</v>
      </c>
      <c r="G3921" s="3" t="s">
        <v>465</v>
      </c>
      <c r="H3921" s="2" t="s">
        <v>21</v>
      </c>
      <c r="I3921" s="2" t="s">
        <v>9438</v>
      </c>
      <c r="J3921" s="3" t="str">
        <f>HYPERLINK("https://www.boe.es/gazeta/dias/1817/10/28/pdfs/GMD-1817-129.pdf#page=7","Abrir facsímil")</f>
        <v>Abrir facsímil</v>
      </c>
      <c r="K3921" s="3" t="s">
        <v>23</v>
      </c>
    </row>
    <row r="3922" spans="1:11" ht="42" customHeight="1">
      <c r="A3922" s="2" t="s">
        <v>9431</v>
      </c>
      <c r="B3922" s="2" t="s">
        <v>9432</v>
      </c>
      <c r="C3922" s="2" t="s">
        <v>17</v>
      </c>
      <c r="D3922" s="2" t="s">
        <v>18</v>
      </c>
      <c r="E3922" s="5">
        <v>-29985</v>
      </c>
      <c r="F3922" s="3" t="s">
        <v>76</v>
      </c>
      <c r="G3922" s="3" t="s">
        <v>82</v>
      </c>
      <c r="H3922" s="2" t="s">
        <v>21</v>
      </c>
      <c r="I3922" s="2" t="s">
        <v>9439</v>
      </c>
      <c r="J3922" s="3" t="str">
        <f>HYPERLINK("https://www.boe.es/gazeta/dias/1817/11/25/pdfs/GMD-1817-141.pdf#page=12","Abrir facsímil")</f>
        <v>Abrir facsímil</v>
      </c>
      <c r="K3922" s="3" t="s">
        <v>23</v>
      </c>
    </row>
    <row r="3923" spans="1:11" ht="42" customHeight="1">
      <c r="A3923" s="2" t="s">
        <v>9440</v>
      </c>
      <c r="B3923" s="2" t="s">
        <v>9441</v>
      </c>
      <c r="C3923" s="2" t="s">
        <v>43</v>
      </c>
      <c r="D3923" s="2" t="s">
        <v>44</v>
      </c>
      <c r="E3923" s="5">
        <v>-30303</v>
      </c>
      <c r="F3923" s="3" t="s">
        <v>407</v>
      </c>
      <c r="G3923" s="3" t="s">
        <v>39</v>
      </c>
      <c r="H3923" s="2" t="s">
        <v>27</v>
      </c>
      <c r="I3923" s="2" t="s">
        <v>9442</v>
      </c>
      <c r="J3923" s="3" t="str">
        <f>HYPERLINK("https://www.boe.es/gazeta/dias/1817/01/11/pdfs/GMD-1817-5.pdf#page=5","Abrir facsímil")</f>
        <v>Abrir facsímil</v>
      </c>
      <c r="K3923" s="3" t="s">
        <v>29</v>
      </c>
    </row>
    <row r="3924" spans="1:11" ht="42" customHeight="1">
      <c r="A3924" s="2" t="s">
        <v>9443</v>
      </c>
      <c r="B3924" s="2" t="s">
        <v>9444</v>
      </c>
      <c r="C3924" s="2" t="s">
        <v>36</v>
      </c>
      <c r="D3924" s="2" t="s">
        <v>37</v>
      </c>
      <c r="E3924" s="5">
        <v>-30261</v>
      </c>
      <c r="F3924" s="3" t="s">
        <v>226</v>
      </c>
      <c r="G3924" s="3" t="s">
        <v>57</v>
      </c>
      <c r="H3924" s="2" t="s">
        <v>21</v>
      </c>
      <c r="I3924" s="2" t="s">
        <v>9445</v>
      </c>
      <c r="J3924" s="3" t="str">
        <f>HYPERLINK("https://www.boe.es/gazeta/dias/1817/02/22/pdfs/GMD-1817-23.pdf#page=6","Abrir facsímil")</f>
        <v>Abrir facsímil</v>
      </c>
      <c r="K3924" s="3" t="s">
        <v>23</v>
      </c>
    </row>
    <row r="3925" spans="1:11" ht="42" customHeight="1">
      <c r="A3925" s="2" t="s">
        <v>9446</v>
      </c>
      <c r="B3925" s="2" t="s">
        <v>9447</v>
      </c>
      <c r="C3925" s="2" t="s">
        <v>43</v>
      </c>
      <c r="D3925" s="2" t="s">
        <v>44</v>
      </c>
      <c r="E3925" s="5">
        <v>-30303</v>
      </c>
      <c r="F3925" s="3" t="s">
        <v>407</v>
      </c>
      <c r="G3925" s="3" t="s">
        <v>39</v>
      </c>
      <c r="H3925" s="2" t="s">
        <v>21</v>
      </c>
      <c r="I3925" s="2" t="s">
        <v>9448</v>
      </c>
      <c r="J3925" s="3" t="str">
        <f>HYPERLINK("https://www.boe.es/gazeta/dias/1817/01/11/pdfs/GMD-1817-5.pdf#page=5","Abrir facsímil")</f>
        <v>Abrir facsímil</v>
      </c>
      <c r="K3925" s="3" t="s">
        <v>23</v>
      </c>
    </row>
    <row r="3926" spans="1:11" ht="42" customHeight="1">
      <c r="A3926" s="2" t="s">
        <v>9449</v>
      </c>
      <c r="B3926" s="2" t="s">
        <v>9450</v>
      </c>
      <c r="C3926" s="2" t="s">
        <v>36</v>
      </c>
      <c r="D3926" s="2" t="s">
        <v>37</v>
      </c>
      <c r="E3926" s="5">
        <v>-30265</v>
      </c>
      <c r="F3926" s="3" t="s">
        <v>107</v>
      </c>
      <c r="G3926" s="3" t="s">
        <v>298</v>
      </c>
      <c r="H3926" s="2" t="s">
        <v>21</v>
      </c>
      <c r="I3926" s="2" t="s">
        <v>9451</v>
      </c>
      <c r="J3926" s="3" t="str">
        <f>HYPERLINK("https://www.boe.es/gazeta/dias/1817/02/18/pdfs/GMD-1817-21.pdf#page=6","Abrir facsímil")</f>
        <v>Abrir facsímil</v>
      </c>
      <c r="K3926" s="3" t="s">
        <v>23</v>
      </c>
    </row>
    <row r="3927" spans="1:11" ht="42" customHeight="1">
      <c r="A3927" s="2" t="s">
        <v>9452</v>
      </c>
      <c r="B3927" s="2" t="s">
        <v>9453</v>
      </c>
      <c r="C3927" s="2" t="s">
        <v>43</v>
      </c>
      <c r="D3927" s="2" t="s">
        <v>44</v>
      </c>
      <c r="E3927" s="5">
        <v>-30310</v>
      </c>
      <c r="F3927" s="3" t="s">
        <v>93</v>
      </c>
      <c r="G3927" s="3" t="s">
        <v>57</v>
      </c>
      <c r="H3927" s="2" t="s">
        <v>21</v>
      </c>
      <c r="I3927" s="2" t="s">
        <v>9454</v>
      </c>
      <c r="J3927" s="3" t="str">
        <f>HYPERLINK("https://www.boe.es/gazeta/dias/1817/01/04/pdfs/GMD-1817-2.pdf#page=6","Abrir facsímil")</f>
        <v>Abrir facsímil</v>
      </c>
      <c r="K3927" s="3" t="s">
        <v>23</v>
      </c>
    </row>
    <row r="3928" spans="1:11" ht="42" customHeight="1">
      <c r="A3928" s="2" t="s">
        <v>9455</v>
      </c>
      <c r="B3928" s="2" t="s">
        <v>9456</v>
      </c>
      <c r="C3928" s="2" t="s">
        <v>36</v>
      </c>
      <c r="D3928" s="2" t="s">
        <v>37</v>
      </c>
      <c r="E3928" s="5">
        <v>-30137</v>
      </c>
      <c r="F3928" s="3" t="s">
        <v>935</v>
      </c>
      <c r="G3928" s="3" t="s">
        <v>39</v>
      </c>
      <c r="H3928" s="2" t="s">
        <v>21</v>
      </c>
      <c r="I3928" s="2" t="s">
        <v>9457</v>
      </c>
      <c r="J3928" s="3" t="str">
        <f>HYPERLINK("https://www.boe.es/gazeta/dias/1817/06/26/pdfs/GMD-1817-76.pdf#page=5","Abrir facsímil")</f>
        <v>Abrir facsímil</v>
      </c>
      <c r="K3928" s="3" t="s">
        <v>23</v>
      </c>
    </row>
    <row r="3929" spans="1:11" ht="42" customHeight="1">
      <c r="A3929" s="2" t="s">
        <v>9458</v>
      </c>
      <c r="B3929" s="2" t="s">
        <v>9459</v>
      </c>
      <c r="C3929" s="2" t="s">
        <v>36</v>
      </c>
      <c r="D3929" s="2" t="s">
        <v>37</v>
      </c>
      <c r="E3929" s="5">
        <v>-30212</v>
      </c>
      <c r="F3929" s="3" t="s">
        <v>745</v>
      </c>
      <c r="G3929" s="3" t="s">
        <v>57</v>
      </c>
      <c r="H3929" s="2" t="s">
        <v>21</v>
      </c>
      <c r="I3929" s="2" t="s">
        <v>9460</v>
      </c>
      <c r="J3929" s="3" t="str">
        <f>HYPERLINK("https://www.boe.es/gazeta/dias/1817/04/12/pdfs/GMD-1817-44.pdf#page=6","Abrir facsímil")</f>
        <v>Abrir facsímil</v>
      </c>
      <c r="K3929" s="3" t="s">
        <v>23</v>
      </c>
    </row>
    <row r="3930" spans="1:11" ht="42" customHeight="1">
      <c r="A3930" s="2" t="s">
        <v>9461</v>
      </c>
      <c r="B3930" s="2" t="s">
        <v>9462</v>
      </c>
      <c r="C3930" s="2" t="s">
        <v>36</v>
      </c>
      <c r="D3930" s="2" t="s">
        <v>37</v>
      </c>
      <c r="E3930" s="5">
        <v>-29997</v>
      </c>
      <c r="F3930" s="3" t="s">
        <v>652</v>
      </c>
      <c r="G3930" s="3" t="s">
        <v>39</v>
      </c>
      <c r="H3930" s="2" t="s">
        <v>21</v>
      </c>
      <c r="I3930" s="2" t="s">
        <v>9463</v>
      </c>
      <c r="J3930" s="3" t="str">
        <f>HYPERLINK("https://www.boe.es/gazeta/dias/1817/11/13/pdfs/GMD-1817-136.pdf#page=5","Abrir facsímil")</f>
        <v>Abrir facsímil</v>
      </c>
      <c r="K3930" s="3" t="s">
        <v>23</v>
      </c>
    </row>
    <row r="3931" spans="1:11" ht="42" customHeight="1">
      <c r="A3931" s="2" t="s">
        <v>9464</v>
      </c>
      <c r="B3931" s="2" t="s">
        <v>9465</v>
      </c>
      <c r="C3931" s="2" t="s">
        <v>43</v>
      </c>
      <c r="D3931" s="2" t="s">
        <v>44</v>
      </c>
      <c r="E3931" s="5">
        <v>-30013</v>
      </c>
      <c r="F3931" s="3" t="s">
        <v>464</v>
      </c>
      <c r="G3931" s="3" t="s">
        <v>39</v>
      </c>
      <c r="H3931" s="2" t="s">
        <v>21</v>
      </c>
      <c r="I3931" s="2" t="s">
        <v>9466</v>
      </c>
      <c r="J3931" s="3" t="str">
        <f>HYPERLINK("https://www.boe.es/gazeta/dias/1817/10/28/pdfs/GMD-1817-129.pdf#page=5","Abrir facsímil")</f>
        <v>Abrir facsímil</v>
      </c>
      <c r="K3931" s="3" t="s">
        <v>23</v>
      </c>
    </row>
    <row r="3932" spans="1:11" ht="42" customHeight="1">
      <c r="A3932" s="2" t="s">
        <v>9467</v>
      </c>
      <c r="B3932" s="2" t="s">
        <v>9468</v>
      </c>
      <c r="C3932" s="2" t="s">
        <v>49</v>
      </c>
      <c r="D3932" s="2" t="s">
        <v>44</v>
      </c>
      <c r="E3932" s="5">
        <v>-30135</v>
      </c>
      <c r="F3932" s="3" t="s">
        <v>239</v>
      </c>
      <c r="G3932" s="3" t="s">
        <v>240</v>
      </c>
      <c r="H3932" s="2" t="s">
        <v>21</v>
      </c>
      <c r="I3932" s="2" t="s">
        <v>9469</v>
      </c>
      <c r="J3932" s="3" t="str">
        <f>HYPERLINK("https://www.boe.es/gazeta/dias/1817/06/28/pdfs/GMD-1817-77.pdf#page=7","Abrir facsímil")</f>
        <v>Abrir facsímil</v>
      </c>
      <c r="K3932" s="3" t="s">
        <v>23</v>
      </c>
    </row>
    <row r="3933" spans="1:11" ht="42" customHeight="1">
      <c r="A3933" s="2" t="s">
        <v>9470</v>
      </c>
      <c r="B3933" s="2" t="s">
        <v>9471</v>
      </c>
      <c r="C3933" s="2" t="s">
        <v>43</v>
      </c>
      <c r="D3933" s="2" t="s">
        <v>44</v>
      </c>
      <c r="E3933" s="5">
        <v>-30027</v>
      </c>
      <c r="F3933" s="3" t="s">
        <v>173</v>
      </c>
      <c r="G3933" s="3" t="s">
        <v>77</v>
      </c>
      <c r="H3933" s="2" t="s">
        <v>21</v>
      </c>
      <c r="I3933" s="2" t="s">
        <v>9472</v>
      </c>
      <c r="J3933" s="3" t="str">
        <f>HYPERLINK("https://www.boe.es/gazeta/dias/1817/10/14/pdfs/GMD-1817-123.pdf#page=8","Abrir facsímil")</f>
        <v>Abrir facsímil</v>
      </c>
      <c r="K3933" s="3" t="s">
        <v>23</v>
      </c>
    </row>
    <row r="3934" spans="1:11" ht="42" customHeight="1">
      <c r="A3934" s="2" t="s">
        <v>9473</v>
      </c>
      <c r="B3934" s="2" t="s">
        <v>9474</v>
      </c>
      <c r="C3934" s="2" t="s">
        <v>97</v>
      </c>
      <c r="D3934" s="2" t="s">
        <v>44</v>
      </c>
      <c r="E3934" s="5">
        <v>-29990</v>
      </c>
      <c r="F3934" s="3" t="s">
        <v>542</v>
      </c>
      <c r="G3934" s="3" t="s">
        <v>77</v>
      </c>
      <c r="H3934" s="2" t="s">
        <v>21</v>
      </c>
      <c r="I3934" s="2" t="s">
        <v>9475</v>
      </c>
      <c r="J3934" s="3" t="str">
        <f>HYPERLINK("https://www.boe.es/gazeta/dias/1817/11/20/pdfs/GMD-1817-139.pdf#page=8","Abrir facsímil")</f>
        <v>Abrir facsímil</v>
      </c>
      <c r="K3934" s="3" t="s">
        <v>23</v>
      </c>
    </row>
    <row r="3935" spans="1:11" ht="42" customHeight="1">
      <c r="A3935" s="2" t="s">
        <v>9476</v>
      </c>
      <c r="B3935" s="2" t="s">
        <v>9477</v>
      </c>
      <c r="C3935" s="2" t="s">
        <v>36</v>
      </c>
      <c r="D3935" s="2" t="s">
        <v>37</v>
      </c>
      <c r="E3935" s="5">
        <v>-30139</v>
      </c>
      <c r="F3935" s="3" t="s">
        <v>993</v>
      </c>
      <c r="G3935" s="3" t="s">
        <v>8931</v>
      </c>
      <c r="H3935" s="2" t="s">
        <v>21</v>
      </c>
      <c r="I3935" s="2" t="s">
        <v>9478</v>
      </c>
      <c r="J3935" s="3" t="str">
        <f>HYPERLINK("https://www.boe.es/gazeta/dias/1817/06/24/pdfs/GMD-1817-75.pdf#page=7","Abrir facsímil")</f>
        <v>Abrir facsímil</v>
      </c>
      <c r="K3935" s="3" t="s">
        <v>23</v>
      </c>
    </row>
    <row r="3936" spans="1:11" ht="42" customHeight="1">
      <c r="A3936" s="2" t="s">
        <v>9479</v>
      </c>
      <c r="B3936" s="2" t="s">
        <v>9480</v>
      </c>
      <c r="C3936" s="2" t="s">
        <v>36</v>
      </c>
      <c r="D3936" s="2" t="s">
        <v>37</v>
      </c>
      <c r="E3936" s="5">
        <v>-29978</v>
      </c>
      <c r="F3936" s="3" t="s">
        <v>478</v>
      </c>
      <c r="G3936" s="3" t="s">
        <v>20</v>
      </c>
      <c r="H3936" s="2" t="s">
        <v>21</v>
      </c>
      <c r="I3936" s="2" t="s">
        <v>9481</v>
      </c>
      <c r="J3936" s="3" t="str">
        <f>HYPERLINK("https://www.boe.es/gazeta/dias/1817/12/02/pdfs/GMD-1817-144.pdf#page=7","Abrir facsímil")</f>
        <v>Abrir facsímil</v>
      </c>
      <c r="K3936" s="3" t="s">
        <v>23</v>
      </c>
    </row>
    <row r="3937" spans="1:11" ht="42" customHeight="1">
      <c r="A3937" s="2" t="s">
        <v>9482</v>
      </c>
      <c r="B3937" s="2" t="s">
        <v>9483</v>
      </c>
      <c r="C3937" s="2" t="s">
        <v>36</v>
      </c>
      <c r="D3937" s="2" t="s">
        <v>37</v>
      </c>
      <c r="E3937" s="5">
        <v>-29969</v>
      </c>
      <c r="F3937" s="3" t="s">
        <v>252</v>
      </c>
      <c r="G3937" s="3" t="s">
        <v>112</v>
      </c>
      <c r="H3937" s="2" t="s">
        <v>21</v>
      </c>
      <c r="I3937" s="2" t="s">
        <v>9484</v>
      </c>
      <c r="J3937" s="3" t="str">
        <f>HYPERLINK("https://www.boe.es/gazeta/dias/1817/12/11/pdfs/GMD-1817-148.pdf#page=11","Abrir facsímil")</f>
        <v>Abrir facsímil</v>
      </c>
      <c r="K3937" s="3" t="s">
        <v>23</v>
      </c>
    </row>
    <row r="3938" spans="1:11" ht="42" customHeight="1">
      <c r="A3938" s="2" t="s">
        <v>9485</v>
      </c>
      <c r="B3938" s="2" t="s">
        <v>9486</v>
      </c>
      <c r="C3938" s="2" t="s">
        <v>17</v>
      </c>
      <c r="D3938" s="2" t="s">
        <v>18</v>
      </c>
      <c r="E3938" s="5">
        <v>-30158</v>
      </c>
      <c r="F3938" s="3" t="s">
        <v>305</v>
      </c>
      <c r="G3938" s="3" t="s">
        <v>20</v>
      </c>
      <c r="H3938" s="2" t="s">
        <v>21</v>
      </c>
      <c r="I3938" s="2" t="s">
        <v>9487</v>
      </c>
      <c r="J3938" s="3" t="str">
        <f>HYPERLINK("https://www.boe.es/gazeta/dias/1817/06/05/pdfs/GMD-1817-67.pdf#page=7","Abrir facsímil")</f>
        <v>Abrir facsímil</v>
      </c>
      <c r="K3938" s="3" t="s">
        <v>23</v>
      </c>
    </row>
    <row r="3939" spans="1:11" ht="42" customHeight="1">
      <c r="A3939" s="2" t="s">
        <v>9488</v>
      </c>
      <c r="B3939" s="2" t="s">
        <v>9489</v>
      </c>
      <c r="C3939" s="2" t="s">
        <v>17</v>
      </c>
      <c r="D3939" s="2" t="s">
        <v>18</v>
      </c>
      <c r="E3939" s="5">
        <v>-30291</v>
      </c>
      <c r="F3939" s="3" t="s">
        <v>1041</v>
      </c>
      <c r="G3939" s="3" t="s">
        <v>39</v>
      </c>
      <c r="H3939" s="2" t="s">
        <v>21</v>
      </c>
      <c r="I3939" s="2" t="s">
        <v>9490</v>
      </c>
      <c r="J3939" s="3" t="str">
        <f>HYPERLINK("https://www.boe.es/gazeta/dias/1817/01/23/pdfs/GMD-1817-10.pdf#page=5","Abrir facsímil")</f>
        <v>Abrir facsímil</v>
      </c>
      <c r="K3939" s="3" t="s">
        <v>23</v>
      </c>
    </row>
    <row r="3940" spans="1:11" ht="42" customHeight="1">
      <c r="A3940" s="2" t="s">
        <v>9491</v>
      </c>
      <c r="B3940" s="2" t="s">
        <v>9492</v>
      </c>
      <c r="C3940" s="2" t="s">
        <v>49</v>
      </c>
      <c r="D3940" s="2" t="s">
        <v>44</v>
      </c>
      <c r="E3940" s="5">
        <v>-30053</v>
      </c>
      <c r="F3940" s="3" t="s">
        <v>129</v>
      </c>
      <c r="G3940" s="3" t="s">
        <v>3667</v>
      </c>
      <c r="H3940" s="2" t="s">
        <v>21</v>
      </c>
      <c r="I3940" s="2" t="s">
        <v>9493</v>
      </c>
      <c r="J3940" s="3" t="str">
        <f>HYPERLINK("https://www.boe.es/gazeta/dias/1817/09/18/pdfs/GMD-1817-112.pdf#page=6","Abrir facsímil")</f>
        <v>Abrir facsímil</v>
      </c>
      <c r="K3940" s="3" t="s">
        <v>23</v>
      </c>
    </row>
    <row r="3941" spans="1:11" ht="42" customHeight="1">
      <c r="A3941" s="2" t="s">
        <v>9494</v>
      </c>
      <c r="B3941" s="2" t="s">
        <v>9495</v>
      </c>
      <c r="C3941" s="2" t="s">
        <v>36</v>
      </c>
      <c r="D3941" s="2" t="s">
        <v>37</v>
      </c>
      <c r="E3941" s="5">
        <v>-30011</v>
      </c>
      <c r="F3941" s="3" t="s">
        <v>313</v>
      </c>
      <c r="G3941" s="3" t="s">
        <v>1736</v>
      </c>
      <c r="H3941" s="2" t="s">
        <v>21</v>
      </c>
      <c r="I3941" s="2" t="s">
        <v>9496</v>
      </c>
      <c r="J3941" s="3" t="str">
        <f>HYPERLINK("https://www.boe.es/gazeta/dias/1817/10/30/pdfs/GMD-1817-130.pdf#page=11","Abrir facsímil")</f>
        <v>Abrir facsímil</v>
      </c>
      <c r="K3941" s="3" t="s">
        <v>23</v>
      </c>
    </row>
    <row r="3942" spans="1:11" ht="42" customHeight="1">
      <c r="A3942" s="2" t="s">
        <v>9494</v>
      </c>
      <c r="B3942" s="2" t="s">
        <v>9495</v>
      </c>
      <c r="C3942" s="2" t="s">
        <v>36</v>
      </c>
      <c r="D3942" s="2" t="s">
        <v>37</v>
      </c>
      <c r="E3942" s="5">
        <v>-30011</v>
      </c>
      <c r="F3942" s="3" t="s">
        <v>313</v>
      </c>
      <c r="G3942" s="3" t="s">
        <v>77</v>
      </c>
      <c r="H3942" s="2" t="s">
        <v>21</v>
      </c>
      <c r="I3942" s="2" t="s">
        <v>9497</v>
      </c>
      <c r="J3942" s="3" t="str">
        <f>HYPERLINK("https://www.boe.es/gazeta/dias/1817/10/30/pdfs/GMD-1817-130.pdf#page=8","Abrir facsímil")</f>
        <v>Abrir facsímil</v>
      </c>
      <c r="K3942" s="3" t="s">
        <v>23</v>
      </c>
    </row>
    <row r="3943" spans="1:11" ht="42" customHeight="1">
      <c r="A3943" s="2" t="s">
        <v>9494</v>
      </c>
      <c r="B3943" s="2" t="s">
        <v>9495</v>
      </c>
      <c r="C3943" s="2" t="s">
        <v>138</v>
      </c>
      <c r="D3943" s="2" t="s">
        <v>44</v>
      </c>
      <c r="E3943" s="5">
        <v>-29983</v>
      </c>
      <c r="F3943" s="3" t="s">
        <v>148</v>
      </c>
      <c r="G3943" s="3" t="s">
        <v>149</v>
      </c>
      <c r="H3943" s="2" t="s">
        <v>21</v>
      </c>
      <c r="I3943" s="2" t="s">
        <v>9498</v>
      </c>
      <c r="J3943" s="3" t="str">
        <f>HYPERLINK("https://www.boe.es/gazeta/dias/1817/11/27/pdfs/GMD-1817-142.pdf#page=8","Abrir facsímil")</f>
        <v>Abrir facsímil</v>
      </c>
      <c r="K3943" s="3" t="s">
        <v>23</v>
      </c>
    </row>
    <row r="3944" spans="1:11" ht="42" customHeight="1">
      <c r="A3944" s="2" t="s">
        <v>9499</v>
      </c>
      <c r="B3944" s="2" t="s">
        <v>9500</v>
      </c>
      <c r="C3944" s="2" t="s">
        <v>43</v>
      </c>
      <c r="D3944" s="2" t="s">
        <v>44</v>
      </c>
      <c r="E3944" s="5">
        <v>-30097</v>
      </c>
      <c r="F3944" s="3" t="s">
        <v>156</v>
      </c>
      <c r="G3944" s="3" t="s">
        <v>1596</v>
      </c>
      <c r="H3944" s="2" t="s">
        <v>21</v>
      </c>
      <c r="I3944" s="2" t="s">
        <v>9501</v>
      </c>
      <c r="J3944" s="3" t="str">
        <f>HYPERLINK("https://www.boe.es/gazeta/dias/1817/08/05/pdfs/GMD-1817-93.pdf#page=6","Abrir facsímil")</f>
        <v>Abrir facsímil</v>
      </c>
      <c r="K3944" s="3" t="s">
        <v>23</v>
      </c>
    </row>
    <row r="3945" spans="1:11" ht="42" customHeight="1">
      <c r="A3945" s="2" t="s">
        <v>9502</v>
      </c>
      <c r="B3945" s="2" t="s">
        <v>9503</v>
      </c>
      <c r="C3945" s="2" t="s">
        <v>36</v>
      </c>
      <c r="D3945" s="2" t="s">
        <v>37</v>
      </c>
      <c r="E3945" s="5">
        <v>-30114</v>
      </c>
      <c r="F3945" s="3" t="s">
        <v>500</v>
      </c>
      <c r="G3945" s="3" t="s">
        <v>4362</v>
      </c>
      <c r="H3945" s="2" t="s">
        <v>21</v>
      </c>
      <c r="I3945" s="2" t="s">
        <v>9504</v>
      </c>
      <c r="J3945" s="3" t="str">
        <f>HYPERLINK("https://www.boe.es/gazeta/dias/1817/07/19/pdfs/GMD-1817-86.pdf#page=5","Abrir facsímil")</f>
        <v>Abrir facsímil</v>
      </c>
      <c r="K3945" s="3" t="s">
        <v>23</v>
      </c>
    </row>
    <row r="3946" spans="1:11" ht="42" customHeight="1">
      <c r="A3946" s="2" t="s">
        <v>9505</v>
      </c>
      <c r="B3946" s="2" t="s">
        <v>9506</v>
      </c>
      <c r="C3946" s="2" t="s">
        <v>55</v>
      </c>
      <c r="D3946" s="2" t="s">
        <v>44</v>
      </c>
      <c r="E3946" s="5">
        <v>-29969</v>
      </c>
      <c r="F3946" s="3" t="s">
        <v>252</v>
      </c>
      <c r="G3946" s="3" t="s">
        <v>82</v>
      </c>
      <c r="H3946" s="2" t="s">
        <v>21</v>
      </c>
      <c r="I3946" s="2" t="s">
        <v>9507</v>
      </c>
      <c r="J3946" s="3" t="str">
        <f>HYPERLINK("https://www.boe.es/gazeta/dias/1817/12/11/pdfs/GMD-1817-148.pdf#page=12","Abrir facsímil")</f>
        <v>Abrir facsímil</v>
      </c>
      <c r="K3946" s="3" t="s">
        <v>23</v>
      </c>
    </row>
    <row r="3947" spans="1:11" ht="42" customHeight="1">
      <c r="A3947" s="2" t="s">
        <v>9508</v>
      </c>
      <c r="B3947" s="2" t="s">
        <v>9509</v>
      </c>
      <c r="C3947" s="2" t="s">
        <v>17</v>
      </c>
      <c r="D3947" s="2" t="s">
        <v>18</v>
      </c>
      <c r="E3947" s="5">
        <v>-30097</v>
      </c>
      <c r="F3947" s="3" t="s">
        <v>156</v>
      </c>
      <c r="G3947" s="3" t="s">
        <v>2493</v>
      </c>
      <c r="H3947" s="2" t="s">
        <v>21</v>
      </c>
      <c r="I3947" s="2" t="s">
        <v>9510</v>
      </c>
      <c r="J3947" s="3" t="str">
        <f>HYPERLINK("https://www.boe.es/gazeta/dias/1817/08/05/pdfs/GMD-1817-93.pdf#page=8","Abrir facsímil")</f>
        <v>Abrir facsímil</v>
      </c>
      <c r="K3947" s="3" t="s">
        <v>23</v>
      </c>
    </row>
    <row r="3948" spans="1:11" ht="42" customHeight="1">
      <c r="A3948" s="2" t="s">
        <v>9511</v>
      </c>
      <c r="B3948" s="2" t="s">
        <v>9512</v>
      </c>
      <c r="C3948" s="2" t="s">
        <v>36</v>
      </c>
      <c r="D3948" s="2" t="s">
        <v>37</v>
      </c>
      <c r="E3948" s="5">
        <v>-30011</v>
      </c>
      <c r="F3948" s="3" t="s">
        <v>313</v>
      </c>
      <c r="G3948" s="3" t="s">
        <v>1736</v>
      </c>
      <c r="H3948" s="2" t="s">
        <v>21</v>
      </c>
      <c r="I3948" s="2" t="s">
        <v>9513</v>
      </c>
      <c r="J3948" s="3" t="str">
        <f>HYPERLINK("https://www.boe.es/gazeta/dias/1817/10/30/pdfs/GMD-1817-130.pdf#page=11","Abrir facsímil")</f>
        <v>Abrir facsímil</v>
      </c>
      <c r="K3948" s="3" t="s">
        <v>23</v>
      </c>
    </row>
    <row r="3949" spans="1:11" ht="42" customHeight="1">
      <c r="A3949" s="2" t="s">
        <v>9514</v>
      </c>
      <c r="B3949" s="2" t="s">
        <v>9515</v>
      </c>
      <c r="C3949" s="2" t="s">
        <v>43</v>
      </c>
      <c r="D3949" s="2" t="s">
        <v>44</v>
      </c>
      <c r="E3949" s="5">
        <v>-30060</v>
      </c>
      <c r="F3949" s="3" t="s">
        <v>446</v>
      </c>
      <c r="G3949" s="3" t="s">
        <v>77</v>
      </c>
      <c r="H3949" s="2" t="s">
        <v>21</v>
      </c>
      <c r="I3949" s="2" t="s">
        <v>9516</v>
      </c>
      <c r="J3949" s="3" t="str">
        <f>HYPERLINK("https://www.boe.es/gazeta/dias/1817/09/11/pdfs/GMD-1817-109.pdf#page=8","Abrir facsímil")</f>
        <v>Abrir facsímil</v>
      </c>
      <c r="K3949" s="3" t="s">
        <v>23</v>
      </c>
    </row>
    <row r="3950" spans="1:11" ht="42" customHeight="1">
      <c r="A3950" s="2" t="s">
        <v>9517</v>
      </c>
      <c r="B3950" s="2" t="s">
        <v>9518</v>
      </c>
      <c r="C3950" s="2" t="s">
        <v>36</v>
      </c>
      <c r="D3950" s="2" t="s">
        <v>37</v>
      </c>
      <c r="E3950" s="5">
        <v>-30303</v>
      </c>
      <c r="F3950" s="3" t="s">
        <v>407</v>
      </c>
      <c r="G3950" s="3" t="s">
        <v>20</v>
      </c>
      <c r="H3950" s="2" t="s">
        <v>21</v>
      </c>
      <c r="I3950" s="2" t="s">
        <v>9519</v>
      </c>
      <c r="J3950" s="3" t="str">
        <f>HYPERLINK("https://www.boe.es/gazeta/dias/1817/01/11/pdfs/GMD-1817-5.pdf#page=7","Abrir facsímil")</f>
        <v>Abrir facsímil</v>
      </c>
      <c r="K3950" s="3" t="s">
        <v>23</v>
      </c>
    </row>
    <row r="3951" spans="1:11" ht="42" customHeight="1">
      <c r="A3951" s="2" t="s">
        <v>9520</v>
      </c>
      <c r="B3951" s="2" t="s">
        <v>9521</v>
      </c>
      <c r="C3951" s="2" t="s">
        <v>17</v>
      </c>
      <c r="D3951" s="2" t="s">
        <v>18</v>
      </c>
      <c r="E3951" s="5">
        <v>-30020</v>
      </c>
      <c r="F3951" s="3" t="s">
        <v>291</v>
      </c>
      <c r="G3951" s="3" t="s">
        <v>39</v>
      </c>
      <c r="H3951" s="2" t="s">
        <v>21</v>
      </c>
      <c r="I3951" s="2" t="s">
        <v>9522</v>
      </c>
      <c r="J3951" s="3" t="str">
        <f>HYPERLINK("https://www.boe.es/gazeta/dias/1817/10/21/pdfs/GMD-1817-126.pdf#page=5","Abrir facsímil")</f>
        <v>Abrir facsímil</v>
      </c>
      <c r="K3951" s="3" t="s">
        <v>23</v>
      </c>
    </row>
    <row r="3952" spans="1:11" ht="42" customHeight="1">
      <c r="A3952" s="2" t="s">
        <v>9523</v>
      </c>
      <c r="B3952" s="2" t="s">
        <v>9524</v>
      </c>
      <c r="C3952" s="2" t="s">
        <v>43</v>
      </c>
      <c r="D3952" s="2" t="s">
        <v>44</v>
      </c>
      <c r="E3952" s="5">
        <v>-30079</v>
      </c>
      <c r="F3952" s="3" t="s">
        <v>45</v>
      </c>
      <c r="G3952" s="3" t="s">
        <v>39</v>
      </c>
      <c r="H3952" s="2" t="s">
        <v>21</v>
      </c>
      <c r="I3952" s="2" t="s">
        <v>9525</v>
      </c>
      <c r="J3952" s="3" t="str">
        <f>HYPERLINK("https://www.boe.es/gazeta/dias/1817/08/23/pdfs/GMD-1817-101.pdf#page=5","Abrir facsímil")</f>
        <v>Abrir facsímil</v>
      </c>
      <c r="K3952" s="3" t="s">
        <v>23</v>
      </c>
    </row>
    <row r="3953" spans="1:11" ht="42" customHeight="1">
      <c r="A3953" s="2" t="s">
        <v>9526</v>
      </c>
      <c r="B3953" s="2" t="s">
        <v>9527</v>
      </c>
      <c r="C3953" s="2" t="s">
        <v>55</v>
      </c>
      <c r="D3953" s="2" t="s">
        <v>44</v>
      </c>
      <c r="E3953" s="5">
        <v>-30254</v>
      </c>
      <c r="F3953" s="3" t="s">
        <v>124</v>
      </c>
      <c r="G3953" s="3" t="s">
        <v>125</v>
      </c>
      <c r="H3953" s="2" t="s">
        <v>21</v>
      </c>
      <c r="I3953" s="2" t="s">
        <v>9528</v>
      </c>
      <c r="J3953" s="3" t="str">
        <f>HYPERLINK("https://www.boe.es/gazeta/dias/1817/03/01/pdfs/GMD-1817-26.pdf#page=5","Abrir facsímil")</f>
        <v>Abrir facsímil</v>
      </c>
      <c r="K3953" s="3" t="s">
        <v>23</v>
      </c>
    </row>
    <row r="3954" spans="1:11" ht="42" customHeight="1">
      <c r="A3954" s="2" t="s">
        <v>9529</v>
      </c>
      <c r="B3954" s="2" t="s">
        <v>9530</v>
      </c>
      <c r="C3954" s="2" t="s">
        <v>36</v>
      </c>
      <c r="D3954" s="2" t="s">
        <v>37</v>
      </c>
      <c r="E3954" s="5">
        <v>-29974</v>
      </c>
      <c r="F3954" s="3" t="s">
        <v>32</v>
      </c>
      <c r="G3954" s="3" t="s">
        <v>57</v>
      </c>
      <c r="H3954" s="2" t="s">
        <v>21</v>
      </c>
      <c r="I3954" s="2" t="s">
        <v>9531</v>
      </c>
      <c r="J3954" s="3" t="str">
        <f>HYPERLINK("https://www.boe.es/gazeta/dias/1817/12/06/pdfs/GMD-1817-146.pdf#page=6","Abrir facsímil")</f>
        <v>Abrir facsímil</v>
      </c>
      <c r="K3954" s="3" t="s">
        <v>23</v>
      </c>
    </row>
    <row r="3955" spans="1:11" ht="42" customHeight="1">
      <c r="A3955" s="2" t="s">
        <v>9532</v>
      </c>
      <c r="B3955" s="2" t="s">
        <v>9532</v>
      </c>
      <c r="C3955" s="2" t="s">
        <v>36</v>
      </c>
      <c r="D3955" s="2" t="s">
        <v>37</v>
      </c>
      <c r="E3955" s="5">
        <v>-30200</v>
      </c>
      <c r="F3955" s="3" t="s">
        <v>725</v>
      </c>
      <c r="G3955" s="3" t="s">
        <v>5817</v>
      </c>
      <c r="H3955" s="2" t="s">
        <v>21</v>
      </c>
      <c r="I3955" s="2" t="s">
        <v>9533</v>
      </c>
      <c r="J3955" s="3" t="str">
        <f>HYPERLINK("https://www.boe.es/gazeta/dias/1817/04/24/pdfs/GMD-1817-49.pdf#page=5","Abrir facsímil")</f>
        <v>Abrir facsímil</v>
      </c>
      <c r="K3955" s="3" t="s">
        <v>23</v>
      </c>
    </row>
    <row r="3956" spans="1:11" ht="42" customHeight="1">
      <c r="A3956" s="2" t="s">
        <v>9534</v>
      </c>
      <c r="B3956" s="2" t="s">
        <v>9535</v>
      </c>
      <c r="C3956" s="2" t="s">
        <v>36</v>
      </c>
      <c r="D3956" s="2" t="s">
        <v>37</v>
      </c>
      <c r="E3956" s="5">
        <v>-30200</v>
      </c>
      <c r="F3956" s="3" t="s">
        <v>725</v>
      </c>
      <c r="G3956" s="3" t="s">
        <v>2963</v>
      </c>
      <c r="H3956" s="2" t="s">
        <v>21</v>
      </c>
      <c r="I3956" s="2" t="s">
        <v>9536</v>
      </c>
      <c r="J3956" s="3" t="str">
        <f>HYPERLINK("https://www.boe.es/gazeta/dias/1817/04/24/pdfs/GMD-1817-49.pdf#page=3","Abrir facsímil")</f>
        <v>Abrir facsímil</v>
      </c>
      <c r="K3956" s="3" t="s">
        <v>23</v>
      </c>
    </row>
    <row r="3957" spans="1:11" ht="42" customHeight="1">
      <c r="A3957" s="2" t="s">
        <v>9537</v>
      </c>
      <c r="B3957" s="2" t="s">
        <v>9538</v>
      </c>
      <c r="C3957" s="2" t="s">
        <v>36</v>
      </c>
      <c r="D3957" s="2" t="s">
        <v>37</v>
      </c>
      <c r="E3957" s="5">
        <v>-30286</v>
      </c>
      <c r="F3957" s="3" t="s">
        <v>354</v>
      </c>
      <c r="G3957" s="3" t="s">
        <v>57</v>
      </c>
      <c r="H3957" s="2" t="s">
        <v>21</v>
      </c>
      <c r="I3957" s="2" t="s">
        <v>9539</v>
      </c>
      <c r="J3957" s="3" t="str">
        <f>HYPERLINK("https://www.boe.es/gazeta/dias/1817/01/28/pdfs/GMD-1817-12.pdf#page=6","Abrir facsímil")</f>
        <v>Abrir facsímil</v>
      </c>
      <c r="K3957" s="3" t="s">
        <v>23</v>
      </c>
    </row>
    <row r="3958" spans="1:11" ht="42" customHeight="1">
      <c r="A3958" s="2" t="s">
        <v>9540</v>
      </c>
      <c r="B3958" s="2" t="s">
        <v>9541</v>
      </c>
      <c r="C3958" s="2" t="s">
        <v>17</v>
      </c>
      <c r="D3958" s="2" t="s">
        <v>18</v>
      </c>
      <c r="E3958" s="5">
        <v>-30060</v>
      </c>
      <c r="F3958" s="3" t="s">
        <v>446</v>
      </c>
      <c r="G3958" s="3" t="s">
        <v>77</v>
      </c>
      <c r="H3958" s="2" t="s">
        <v>21</v>
      </c>
      <c r="I3958" s="2" t="s">
        <v>9542</v>
      </c>
      <c r="J3958" s="3" t="str">
        <f>HYPERLINK("https://www.boe.es/gazeta/dias/1817/09/11/pdfs/GMD-1817-109.pdf#page=8","Abrir facsímil")</f>
        <v>Abrir facsímil</v>
      </c>
      <c r="K3958" s="3" t="s">
        <v>23</v>
      </c>
    </row>
    <row r="3959" spans="1:11" ht="42" customHeight="1">
      <c r="A3959" s="2" t="s">
        <v>9543</v>
      </c>
      <c r="B3959" s="2" t="s">
        <v>9544</v>
      </c>
      <c r="C3959" s="2" t="s">
        <v>43</v>
      </c>
      <c r="D3959" s="2" t="s">
        <v>44</v>
      </c>
      <c r="E3959" s="5">
        <v>-30272</v>
      </c>
      <c r="F3959" s="3" t="s">
        <v>493</v>
      </c>
      <c r="G3959" s="3" t="s">
        <v>551</v>
      </c>
      <c r="H3959" s="2" t="s">
        <v>21</v>
      </c>
      <c r="I3959" s="2" t="s">
        <v>9545</v>
      </c>
      <c r="J3959" s="3" t="str">
        <f>HYPERLINK("https://www.boe.es/gazeta/dias/1817/02/11/pdfs/GMD-1817-18.pdf#page=3","Abrir facsímil")</f>
        <v>Abrir facsímil</v>
      </c>
      <c r="K3959" s="3" t="s">
        <v>23</v>
      </c>
    </row>
    <row r="3960" spans="1:11" ht="42" customHeight="1">
      <c r="A3960" s="2" t="s">
        <v>9543</v>
      </c>
      <c r="B3960" s="2" t="s">
        <v>9544</v>
      </c>
      <c r="C3960" s="2" t="s">
        <v>36</v>
      </c>
      <c r="D3960" s="2" t="s">
        <v>37</v>
      </c>
      <c r="E3960" s="5">
        <v>-30272</v>
      </c>
      <c r="F3960" s="3" t="s">
        <v>493</v>
      </c>
      <c r="G3960" s="3" t="s">
        <v>39</v>
      </c>
      <c r="H3960" s="2" t="s">
        <v>21</v>
      </c>
      <c r="I3960" s="2" t="s">
        <v>9546</v>
      </c>
      <c r="J3960" s="3" t="str">
        <f>HYPERLINK("https://www.boe.es/gazeta/dias/1817/02/11/pdfs/GMD-1817-18.pdf#page=5","Abrir facsímil")</f>
        <v>Abrir facsímil</v>
      </c>
      <c r="K3960" s="3" t="s">
        <v>23</v>
      </c>
    </row>
    <row r="3961" spans="1:11" ht="42" customHeight="1">
      <c r="A3961" s="2" t="s">
        <v>9547</v>
      </c>
      <c r="B3961" s="2" t="s">
        <v>9548</v>
      </c>
      <c r="C3961" s="2" t="s">
        <v>49</v>
      </c>
      <c r="D3961" s="2" t="s">
        <v>44</v>
      </c>
      <c r="E3961" s="5">
        <v>-29992</v>
      </c>
      <c r="F3961" s="3" t="s">
        <v>50</v>
      </c>
      <c r="G3961" s="3" t="s">
        <v>51</v>
      </c>
      <c r="H3961" s="2" t="s">
        <v>21</v>
      </c>
      <c r="I3961" s="2" t="s">
        <v>9549</v>
      </c>
      <c r="J3961" s="3" t="str">
        <f>HYPERLINK("https://www.boe.es/gazeta/dias/1817/11/18/pdfs/GMD-1817-138.pdf#page=8","Abrir facsímil")</f>
        <v>Abrir facsímil</v>
      </c>
      <c r="K3961" s="3" t="s">
        <v>23</v>
      </c>
    </row>
    <row r="3962" spans="1:11" ht="42" customHeight="1">
      <c r="A3962" s="2" t="s">
        <v>9550</v>
      </c>
      <c r="B3962" s="2" t="s">
        <v>9551</v>
      </c>
      <c r="C3962" s="2" t="s">
        <v>36</v>
      </c>
      <c r="D3962" s="2" t="s">
        <v>37</v>
      </c>
      <c r="E3962" s="5">
        <v>-29983</v>
      </c>
      <c r="F3962" s="3" t="s">
        <v>148</v>
      </c>
      <c r="G3962" s="3" t="s">
        <v>654</v>
      </c>
      <c r="H3962" s="2" t="s">
        <v>21</v>
      </c>
      <c r="I3962" s="2" t="s">
        <v>9552</v>
      </c>
      <c r="J3962" s="3" t="str">
        <f>HYPERLINK("https://www.boe.es/gazeta/dias/1817/11/27/pdfs/GMD-1817-142.pdf#page=4","Abrir facsímil")</f>
        <v>Abrir facsímil</v>
      </c>
      <c r="K3962" s="3" t="s">
        <v>23</v>
      </c>
    </row>
    <row r="3963" spans="1:11" ht="42" customHeight="1">
      <c r="A3963" s="2" t="s">
        <v>9553</v>
      </c>
      <c r="B3963" s="2" t="s">
        <v>9554</v>
      </c>
      <c r="C3963" s="2" t="s">
        <v>36</v>
      </c>
      <c r="D3963" s="2" t="s">
        <v>37</v>
      </c>
      <c r="E3963" s="5">
        <v>-29983</v>
      </c>
      <c r="F3963" s="3" t="s">
        <v>148</v>
      </c>
      <c r="G3963" s="3" t="s">
        <v>1214</v>
      </c>
      <c r="H3963" s="2" t="s">
        <v>21</v>
      </c>
      <c r="I3963" s="2" t="s">
        <v>9555</v>
      </c>
      <c r="J3963" s="3" t="str">
        <f>HYPERLINK("https://www.boe.es/gazeta/dias/1817/11/27/pdfs/GMD-1817-142.pdf#page=5","Abrir facsímil")</f>
        <v>Abrir facsímil</v>
      </c>
      <c r="K3963" s="3" t="s">
        <v>23</v>
      </c>
    </row>
    <row r="3964" spans="1:11" ht="42" customHeight="1">
      <c r="A3964" s="2" t="s">
        <v>9556</v>
      </c>
      <c r="B3964" s="2" t="s">
        <v>9557</v>
      </c>
      <c r="C3964" s="2" t="s">
        <v>36</v>
      </c>
      <c r="D3964" s="2" t="s">
        <v>37</v>
      </c>
      <c r="E3964" s="5">
        <v>-29974</v>
      </c>
      <c r="F3964" s="3" t="s">
        <v>32</v>
      </c>
      <c r="G3964" s="3" t="s">
        <v>39</v>
      </c>
      <c r="H3964" s="2" t="s">
        <v>27</v>
      </c>
      <c r="I3964" s="2" t="s">
        <v>9558</v>
      </c>
      <c r="J3964" s="3" t="str">
        <f>HYPERLINK("https://www.boe.es/gazeta/dias/1817/12/06/pdfs/GMD-1817-146.pdf#page=5","Abrir facsímil")</f>
        <v>Abrir facsímil</v>
      </c>
      <c r="K3964" s="3" t="s">
        <v>29</v>
      </c>
    </row>
    <row r="3965" spans="1:11" ht="42" customHeight="1">
      <c r="A3965" s="2" t="s">
        <v>9559</v>
      </c>
      <c r="B3965" s="2" t="s">
        <v>9560</v>
      </c>
      <c r="C3965" s="2" t="s">
        <v>36</v>
      </c>
      <c r="D3965" s="2" t="s">
        <v>37</v>
      </c>
      <c r="E3965" s="5">
        <v>-30011</v>
      </c>
      <c r="F3965" s="3" t="s">
        <v>313</v>
      </c>
      <c r="G3965" s="3" t="s">
        <v>77</v>
      </c>
      <c r="H3965" s="2" t="s">
        <v>21</v>
      </c>
      <c r="I3965" s="2" t="s">
        <v>9561</v>
      </c>
      <c r="J3965" s="3" t="str">
        <f>HYPERLINK("https://www.boe.es/gazeta/dias/1817/10/30/pdfs/GMD-1817-130.pdf#page=8","Abrir facsímil")</f>
        <v>Abrir facsímil</v>
      </c>
      <c r="K3965" s="3" t="s">
        <v>23</v>
      </c>
    </row>
    <row r="3966" spans="1:11" ht="42" customHeight="1">
      <c r="A3966" s="2" t="s">
        <v>9562</v>
      </c>
      <c r="B3966" s="2" t="s">
        <v>9563</v>
      </c>
      <c r="C3966" s="2" t="s">
        <v>36</v>
      </c>
      <c r="D3966" s="2" t="s">
        <v>37</v>
      </c>
      <c r="E3966" s="5">
        <v>-29974</v>
      </c>
      <c r="F3966" s="3" t="s">
        <v>32</v>
      </c>
      <c r="G3966" s="3" t="s">
        <v>20</v>
      </c>
      <c r="H3966" s="2" t="s">
        <v>21</v>
      </c>
      <c r="I3966" s="2" t="s">
        <v>9564</v>
      </c>
      <c r="J3966" s="3" t="str">
        <f>HYPERLINK("https://www.boe.es/gazeta/dias/1817/12/06/pdfs/GMD-1817-146.pdf#page=7","Abrir facsímil")</f>
        <v>Abrir facsímil</v>
      </c>
      <c r="K3966" s="3" t="s">
        <v>23</v>
      </c>
    </row>
    <row r="3967" spans="1:11" ht="42" customHeight="1">
      <c r="A3967" s="2" t="s">
        <v>9565</v>
      </c>
      <c r="B3967" s="2" t="s">
        <v>9566</v>
      </c>
      <c r="C3967" s="2" t="s">
        <v>36</v>
      </c>
      <c r="D3967" s="2" t="s">
        <v>37</v>
      </c>
      <c r="E3967" s="5">
        <v>-30307</v>
      </c>
      <c r="F3967" s="3" t="s">
        <v>67</v>
      </c>
      <c r="G3967" s="3" t="s">
        <v>68</v>
      </c>
      <c r="H3967" s="2" t="s">
        <v>27</v>
      </c>
      <c r="I3967" s="2" t="s">
        <v>9567</v>
      </c>
      <c r="J3967" s="3" t="str">
        <f>HYPERLINK("https://www.boe.es/gazeta/dias/1817/01/07/pdfs/GMD-1817-3.pdf#page=8","Abrir facsímil")</f>
        <v>Abrir facsímil</v>
      </c>
      <c r="K3967" s="3" t="s">
        <v>29</v>
      </c>
    </row>
    <row r="3968" spans="1:11" ht="42" customHeight="1">
      <c r="A3968" s="2" t="s">
        <v>9568</v>
      </c>
      <c r="B3968" s="2" t="s">
        <v>9569</v>
      </c>
      <c r="C3968" s="2" t="s">
        <v>36</v>
      </c>
      <c r="D3968" s="2" t="s">
        <v>37</v>
      </c>
      <c r="E3968" s="5">
        <v>-30030</v>
      </c>
      <c r="F3968" s="3" t="s">
        <v>508</v>
      </c>
      <c r="G3968" s="3" t="s">
        <v>1518</v>
      </c>
      <c r="H3968" s="2" t="s">
        <v>21</v>
      </c>
      <c r="I3968" s="2" t="s">
        <v>9570</v>
      </c>
      <c r="J3968" s="3" t="str">
        <f>HYPERLINK("https://www.boe.es/gazeta/dias/1817/10/11/pdfs/GMD-1817-122.pdf#page=10","Abrir facsímil")</f>
        <v>Abrir facsímil</v>
      </c>
      <c r="K3968" s="3" t="s">
        <v>23</v>
      </c>
    </row>
    <row r="3969" spans="1:11" ht="42" customHeight="1">
      <c r="A3969" s="2" t="s">
        <v>9571</v>
      </c>
      <c r="B3969" s="2" t="s">
        <v>9572</v>
      </c>
      <c r="C3969" s="2" t="s">
        <v>43</v>
      </c>
      <c r="D3969" s="2" t="s">
        <v>44</v>
      </c>
      <c r="E3969" s="5">
        <v>-30307</v>
      </c>
      <c r="F3969" s="3" t="s">
        <v>67</v>
      </c>
      <c r="G3969" s="3" t="s">
        <v>739</v>
      </c>
      <c r="H3969" s="2" t="s">
        <v>21</v>
      </c>
      <c r="I3969" s="2" t="s">
        <v>9573</v>
      </c>
      <c r="J3969" s="3" t="str">
        <f>HYPERLINK("https://www.boe.es/gazeta/dias/1817/01/07/pdfs/GMD-1817-3.pdf#page=6","Abrir facsímil")</f>
        <v>Abrir facsímil</v>
      </c>
      <c r="K3969" s="3" t="s">
        <v>23</v>
      </c>
    </row>
    <row r="3970" spans="1:11" ht="42" customHeight="1">
      <c r="A3970" s="2" t="s">
        <v>9574</v>
      </c>
      <c r="B3970" s="2" t="s">
        <v>9575</v>
      </c>
      <c r="C3970" s="2" t="s">
        <v>36</v>
      </c>
      <c r="D3970" s="2" t="s">
        <v>37</v>
      </c>
      <c r="E3970" s="5">
        <v>-30263</v>
      </c>
      <c r="F3970" s="3" t="s">
        <v>1794</v>
      </c>
      <c r="G3970" s="3" t="s">
        <v>20</v>
      </c>
      <c r="H3970" s="2" t="s">
        <v>21</v>
      </c>
      <c r="I3970" s="2" t="s">
        <v>9576</v>
      </c>
      <c r="J3970" s="3" t="str">
        <f>HYPERLINK("https://www.boe.es/gazeta/dias/1817/02/20/pdfs/GMD-1817-22.pdf#page=7","Abrir facsímil")</f>
        <v>Abrir facsímil</v>
      </c>
      <c r="K3970" s="3" t="s">
        <v>23</v>
      </c>
    </row>
    <row r="3971" spans="1:11" ht="42" customHeight="1">
      <c r="A3971" s="2" t="s">
        <v>9577</v>
      </c>
      <c r="B3971" s="2" t="s">
        <v>9578</v>
      </c>
      <c r="C3971" s="2" t="s">
        <v>55</v>
      </c>
      <c r="D3971" s="2" t="s">
        <v>44</v>
      </c>
      <c r="E3971" s="5">
        <v>-30086</v>
      </c>
      <c r="F3971" s="3" t="s">
        <v>221</v>
      </c>
      <c r="G3971" s="3" t="s">
        <v>39</v>
      </c>
      <c r="H3971" s="2" t="s">
        <v>21</v>
      </c>
      <c r="I3971" s="2" t="s">
        <v>9579</v>
      </c>
      <c r="J3971" s="3" t="str">
        <f>HYPERLINK("https://www.boe.es/gazeta/dias/1817/08/16/pdfs/GMD-1817-98.pdf#page=5","Abrir facsímil")</f>
        <v>Abrir facsímil</v>
      </c>
      <c r="K3971" s="3" t="s">
        <v>23</v>
      </c>
    </row>
    <row r="3972" spans="1:11" ht="42" customHeight="1">
      <c r="A3972" s="2" t="s">
        <v>9580</v>
      </c>
      <c r="B3972" s="2" t="s">
        <v>9581</v>
      </c>
      <c r="C3972" s="2" t="s">
        <v>36</v>
      </c>
      <c r="D3972" s="2" t="s">
        <v>37</v>
      </c>
      <c r="E3972" s="5">
        <v>-30081</v>
      </c>
      <c r="F3972" s="3" t="s">
        <v>133</v>
      </c>
      <c r="G3972" s="3" t="s">
        <v>57</v>
      </c>
      <c r="H3972" s="2" t="s">
        <v>21</v>
      </c>
      <c r="I3972" s="2" t="s">
        <v>9582</v>
      </c>
      <c r="J3972" s="3" t="str">
        <f>HYPERLINK("https://www.boe.es/gazeta/dias/1817/08/21/pdfs/GMD-1817-100.pdf#page=6","Abrir facsímil")</f>
        <v>Abrir facsímil</v>
      </c>
      <c r="K3972" s="3" t="s">
        <v>23</v>
      </c>
    </row>
    <row r="3973" spans="1:11" ht="42" customHeight="1">
      <c r="A3973" s="2" t="s">
        <v>9580</v>
      </c>
      <c r="B3973" s="2" t="s">
        <v>9581</v>
      </c>
      <c r="C3973" s="2" t="s">
        <v>36</v>
      </c>
      <c r="D3973" s="2" t="s">
        <v>37</v>
      </c>
      <c r="E3973" s="5">
        <v>-30081</v>
      </c>
      <c r="F3973" s="3" t="s">
        <v>133</v>
      </c>
      <c r="G3973" s="3" t="s">
        <v>77</v>
      </c>
      <c r="H3973" s="2" t="s">
        <v>21</v>
      </c>
      <c r="I3973" s="2" t="s">
        <v>9583</v>
      </c>
      <c r="J3973" s="3" t="str">
        <f>HYPERLINK("https://www.boe.es/gazeta/dias/1817/08/21/pdfs/GMD-1817-100.pdf#page=8","Abrir facsímil")</f>
        <v>Abrir facsímil</v>
      </c>
      <c r="K3973" s="3" t="s">
        <v>23</v>
      </c>
    </row>
    <row r="3974" spans="1:11" ht="42" customHeight="1">
      <c r="A3974" s="2" t="s">
        <v>9584</v>
      </c>
      <c r="B3974" s="2" t="s">
        <v>9585</v>
      </c>
      <c r="C3974" s="2" t="s">
        <v>97</v>
      </c>
      <c r="D3974" s="2" t="s">
        <v>44</v>
      </c>
      <c r="E3974" s="5">
        <v>-30041</v>
      </c>
      <c r="F3974" s="3" t="s">
        <v>260</v>
      </c>
      <c r="G3974" s="3" t="s">
        <v>20</v>
      </c>
      <c r="H3974" s="2" t="s">
        <v>21</v>
      </c>
      <c r="I3974" s="2" t="s">
        <v>9586</v>
      </c>
      <c r="J3974" s="3" t="str">
        <f>HYPERLINK("https://www.boe.es/gazeta/dias/1817/09/30/pdfs/GMD-1817-117.pdf#page=7","Abrir facsímil")</f>
        <v>Abrir facsímil</v>
      </c>
      <c r="K3974" s="3" t="s">
        <v>23</v>
      </c>
    </row>
    <row r="3975" spans="1:11" ht="42" customHeight="1">
      <c r="A3975" s="2" t="s">
        <v>9587</v>
      </c>
      <c r="B3975" s="2" t="s">
        <v>9587</v>
      </c>
      <c r="C3975" s="2" t="s">
        <v>36</v>
      </c>
      <c r="D3975" s="2" t="s">
        <v>37</v>
      </c>
      <c r="E3975" s="5">
        <v>-29969</v>
      </c>
      <c r="F3975" s="3" t="s">
        <v>252</v>
      </c>
      <c r="G3975" s="3" t="s">
        <v>314</v>
      </c>
      <c r="H3975" s="2" t="s">
        <v>21</v>
      </c>
      <c r="I3975" s="2" t="s">
        <v>9588</v>
      </c>
      <c r="J3975" s="3" t="str">
        <f>HYPERLINK("https://www.boe.es/gazeta/dias/1817/12/11/pdfs/GMD-1817-148.pdf#page=10","Abrir facsímil")</f>
        <v>Abrir facsímil</v>
      </c>
      <c r="K3975" s="3" t="s">
        <v>23</v>
      </c>
    </row>
    <row r="3976" spans="1:11" ht="42" customHeight="1">
      <c r="A3976" s="2" t="s">
        <v>9589</v>
      </c>
      <c r="B3976" s="2" t="s">
        <v>9590</v>
      </c>
      <c r="C3976" s="2" t="s">
        <v>36</v>
      </c>
      <c r="D3976" s="2" t="s">
        <v>37</v>
      </c>
      <c r="E3976" s="5">
        <v>-29969</v>
      </c>
      <c r="F3976" s="3" t="s">
        <v>252</v>
      </c>
      <c r="G3976" s="3" t="s">
        <v>314</v>
      </c>
      <c r="H3976" s="2" t="s">
        <v>21</v>
      </c>
      <c r="I3976" s="2" t="s">
        <v>9591</v>
      </c>
      <c r="J3976" s="3" t="str">
        <f>HYPERLINK("https://www.boe.es/gazeta/dias/1817/12/11/pdfs/GMD-1817-148.pdf#page=10","Abrir facsímil")</f>
        <v>Abrir facsímil</v>
      </c>
      <c r="K3976" s="3" t="s">
        <v>23</v>
      </c>
    </row>
    <row r="3977" spans="1:11" ht="42" customHeight="1">
      <c r="A3977" s="2" t="s">
        <v>9589</v>
      </c>
      <c r="B3977" s="2" t="s">
        <v>9590</v>
      </c>
      <c r="C3977" s="2" t="s">
        <v>36</v>
      </c>
      <c r="D3977" s="2" t="s">
        <v>37</v>
      </c>
      <c r="E3977" s="5">
        <v>-29967</v>
      </c>
      <c r="F3977" s="3" t="s">
        <v>183</v>
      </c>
      <c r="G3977" s="3" t="s">
        <v>7850</v>
      </c>
      <c r="H3977" s="2" t="s">
        <v>21</v>
      </c>
      <c r="I3977" s="2" t="s">
        <v>9592</v>
      </c>
      <c r="J3977" s="3" t="str">
        <f>HYPERLINK("https://www.boe.es/gazeta/dias/1817/12/13/pdfs/GMD-1817-149.pdf#page=5","Abrir facsímil")</f>
        <v>Abrir facsímil</v>
      </c>
      <c r="K3977" s="3" t="s">
        <v>23</v>
      </c>
    </row>
    <row r="3978" spans="1:11" ht="42" customHeight="1">
      <c r="A3978" s="2" t="s">
        <v>9593</v>
      </c>
      <c r="B3978" s="2" t="s">
        <v>9594</v>
      </c>
      <c r="C3978" s="2" t="s">
        <v>36</v>
      </c>
      <c r="D3978" s="2" t="s">
        <v>37</v>
      </c>
      <c r="E3978" s="5">
        <v>-30149</v>
      </c>
      <c r="F3978" s="3" t="s">
        <v>430</v>
      </c>
      <c r="G3978" s="3" t="s">
        <v>39</v>
      </c>
      <c r="H3978" s="2" t="s">
        <v>21</v>
      </c>
      <c r="I3978" s="2" t="s">
        <v>9595</v>
      </c>
      <c r="J3978" s="3" t="str">
        <f>HYPERLINK("https://www.boe.es/gazeta/dias/1817/06/14/pdfs/GMD-1817-71.pdf#page=5","Abrir facsímil")</f>
        <v>Abrir facsímil</v>
      </c>
      <c r="K3978" s="3" t="s">
        <v>23</v>
      </c>
    </row>
    <row r="3979" spans="1:11" ht="42" customHeight="1">
      <c r="A3979" s="2" t="s">
        <v>9596</v>
      </c>
      <c r="B3979" s="2" t="s">
        <v>9596</v>
      </c>
      <c r="C3979" s="2" t="s">
        <v>36</v>
      </c>
      <c r="D3979" s="2" t="s">
        <v>37</v>
      </c>
      <c r="E3979" s="5">
        <v>-30177</v>
      </c>
      <c r="F3979" s="3" t="s">
        <v>633</v>
      </c>
      <c r="G3979" s="3" t="s">
        <v>629</v>
      </c>
      <c r="H3979" s="2" t="s">
        <v>21</v>
      </c>
      <c r="I3979" s="2" t="s">
        <v>9597</v>
      </c>
      <c r="J3979" s="3" t="str">
        <f>HYPERLINK("https://www.boe.es/gazeta/dias/1817/05/17/pdfs/GMD-1817-59.pdf#page=2","Abrir facsímil")</f>
        <v>Abrir facsímil</v>
      </c>
      <c r="K3979" s="3" t="s">
        <v>23</v>
      </c>
    </row>
    <row r="3980" spans="1:11" ht="42" customHeight="1">
      <c r="A3980" s="2" t="s">
        <v>9598</v>
      </c>
      <c r="B3980" s="2" t="s">
        <v>9598</v>
      </c>
      <c r="C3980" s="2" t="s">
        <v>17</v>
      </c>
      <c r="D3980" s="2" t="s">
        <v>18</v>
      </c>
      <c r="E3980" s="5">
        <v>-30263</v>
      </c>
      <c r="F3980" s="3" t="s">
        <v>1794</v>
      </c>
      <c r="G3980" s="3" t="s">
        <v>629</v>
      </c>
      <c r="H3980" s="2" t="s">
        <v>21</v>
      </c>
      <c r="I3980" s="2" t="s">
        <v>9599</v>
      </c>
      <c r="J3980" s="3" t="str">
        <f>HYPERLINK("https://www.boe.es/gazeta/dias/1817/02/20/pdfs/GMD-1817-22.pdf#page=2","Abrir facsímil")</f>
        <v>Abrir facsímil</v>
      </c>
      <c r="K3980" s="3" t="s">
        <v>23</v>
      </c>
    </row>
    <row r="3981" spans="1:11" ht="42" customHeight="1">
      <c r="A3981" s="2" t="s">
        <v>9600</v>
      </c>
      <c r="B3981" s="2" t="s">
        <v>9600</v>
      </c>
      <c r="C3981" s="2" t="s">
        <v>36</v>
      </c>
      <c r="D3981" s="2" t="s">
        <v>37</v>
      </c>
      <c r="E3981" s="5">
        <v>-30275</v>
      </c>
      <c r="F3981" s="3" t="s">
        <v>1025</v>
      </c>
      <c r="G3981" s="3" t="s">
        <v>144</v>
      </c>
      <c r="H3981" s="2" t="s">
        <v>21</v>
      </c>
      <c r="I3981" s="2" t="s">
        <v>9601</v>
      </c>
      <c r="J3981" s="3" t="str">
        <f>HYPERLINK("https://www.boe.es/gazeta/dias/1817/02/08/pdfs/GMD-1817-17.pdf#page=4","Abrir facsímil")</f>
        <v>Abrir facsímil</v>
      </c>
      <c r="K3981" s="3" t="s">
        <v>23</v>
      </c>
    </row>
    <row r="3982" spans="1:11" ht="42" customHeight="1">
      <c r="A3982" s="2" t="s">
        <v>9600</v>
      </c>
      <c r="B3982" s="2" t="s">
        <v>9600</v>
      </c>
      <c r="C3982" s="2" t="s">
        <v>36</v>
      </c>
      <c r="D3982" s="2" t="s">
        <v>37</v>
      </c>
      <c r="E3982" s="5">
        <v>-30030</v>
      </c>
      <c r="F3982" s="3" t="s">
        <v>508</v>
      </c>
      <c r="G3982" s="3" t="s">
        <v>72</v>
      </c>
      <c r="H3982" s="2" t="s">
        <v>21</v>
      </c>
      <c r="I3982" s="2" t="s">
        <v>9602</v>
      </c>
      <c r="J3982" s="3" t="str">
        <f>HYPERLINK("https://www.boe.es/gazeta/dias/1817/10/11/pdfs/GMD-1817-122.pdf#page=1","Abrir facsímil")</f>
        <v>Abrir facsímil</v>
      </c>
      <c r="K3982" s="3" t="s">
        <v>23</v>
      </c>
    </row>
    <row r="3983" spans="1:11" ht="42" customHeight="1">
      <c r="A3983" s="2" t="s">
        <v>9600</v>
      </c>
      <c r="B3983" s="2" t="s">
        <v>9600</v>
      </c>
      <c r="C3983" s="2" t="s">
        <v>36</v>
      </c>
      <c r="D3983" s="2" t="s">
        <v>37</v>
      </c>
      <c r="E3983" s="5">
        <v>-30016</v>
      </c>
      <c r="F3983" s="3" t="s">
        <v>2582</v>
      </c>
      <c r="G3983" s="3" t="s">
        <v>551</v>
      </c>
      <c r="H3983" s="2" t="s">
        <v>21</v>
      </c>
      <c r="I3983" s="2" t="s">
        <v>9603</v>
      </c>
      <c r="J3983" s="3" t="str">
        <f>HYPERLINK("https://www.boe.es/gazeta/dias/1817/10/25/pdfs/GMD-1817-128.pdf#page=3","Abrir facsímil")</f>
        <v>Abrir facsímil</v>
      </c>
      <c r="K3983" s="3" t="s">
        <v>23</v>
      </c>
    </row>
    <row r="3984" spans="1:11" ht="42" customHeight="1">
      <c r="A3984" s="2" t="s">
        <v>9604</v>
      </c>
      <c r="B3984" s="2" t="s">
        <v>9604</v>
      </c>
      <c r="C3984" s="2" t="s">
        <v>36</v>
      </c>
      <c r="D3984" s="2" t="s">
        <v>37</v>
      </c>
      <c r="E3984" s="5">
        <v>-29969</v>
      </c>
      <c r="F3984" s="3" t="s">
        <v>252</v>
      </c>
      <c r="G3984" s="3" t="s">
        <v>20</v>
      </c>
      <c r="H3984" s="2" t="s">
        <v>21</v>
      </c>
      <c r="I3984" s="2" t="s">
        <v>9605</v>
      </c>
      <c r="J3984" s="3" t="str">
        <f>HYPERLINK("https://www.boe.es/gazeta/dias/1817/12/11/pdfs/GMD-1817-148.pdf#page=7","Abrir facsímil")</f>
        <v>Abrir facsímil</v>
      </c>
      <c r="K3984" s="3" t="s">
        <v>23</v>
      </c>
    </row>
    <row r="3985" spans="1:11" ht="42" customHeight="1">
      <c r="A3985" s="2" t="s">
        <v>9606</v>
      </c>
      <c r="B3985" s="2" t="s">
        <v>9607</v>
      </c>
      <c r="C3985" s="2" t="s">
        <v>36</v>
      </c>
      <c r="D3985" s="2" t="s">
        <v>37</v>
      </c>
      <c r="E3985" s="5">
        <v>-30011</v>
      </c>
      <c r="F3985" s="3" t="s">
        <v>313</v>
      </c>
      <c r="G3985" s="3" t="s">
        <v>887</v>
      </c>
      <c r="H3985" s="2" t="s">
        <v>21</v>
      </c>
      <c r="I3985" s="2" t="s">
        <v>9608</v>
      </c>
      <c r="J3985" s="3" t="str">
        <f>HYPERLINK("https://www.boe.es/gazeta/dias/1817/10/30/pdfs/GMD-1817-130.pdf#page=9","Abrir facsímil")</f>
        <v>Abrir facsímil</v>
      </c>
      <c r="K3985" s="3" t="s">
        <v>23</v>
      </c>
    </row>
    <row r="3986" spans="1:11" ht="42" customHeight="1">
      <c r="A3986" s="2" t="s">
        <v>9609</v>
      </c>
      <c r="B3986" s="2" t="s">
        <v>9609</v>
      </c>
      <c r="C3986" s="2" t="s">
        <v>36</v>
      </c>
      <c r="D3986" s="2" t="s">
        <v>37</v>
      </c>
      <c r="E3986" s="5">
        <v>-29985</v>
      </c>
      <c r="F3986" s="3" t="s">
        <v>76</v>
      </c>
      <c r="G3986" s="3" t="s">
        <v>551</v>
      </c>
      <c r="H3986" s="2" t="s">
        <v>21</v>
      </c>
      <c r="I3986" s="2" t="s">
        <v>9610</v>
      </c>
      <c r="J3986" s="3" t="str">
        <f>HYPERLINK("https://www.boe.es/gazeta/dias/1817/11/25/pdfs/GMD-1817-141.pdf#page=3","Abrir facsímil")</f>
        <v>Abrir facsímil</v>
      </c>
      <c r="K3986" s="3" t="s">
        <v>23</v>
      </c>
    </row>
    <row r="3987" spans="1:11" ht="42" customHeight="1">
      <c r="A3987" s="2" t="s">
        <v>9611</v>
      </c>
      <c r="B3987" s="2" t="s">
        <v>9611</v>
      </c>
      <c r="C3987" s="2" t="s">
        <v>36</v>
      </c>
      <c r="D3987" s="2" t="s">
        <v>37</v>
      </c>
      <c r="E3987" s="5">
        <v>-30055</v>
      </c>
      <c r="F3987" s="3" t="s">
        <v>71</v>
      </c>
      <c r="G3987" s="3" t="s">
        <v>629</v>
      </c>
      <c r="H3987" s="2" t="s">
        <v>21</v>
      </c>
      <c r="I3987" s="2" t="s">
        <v>9612</v>
      </c>
      <c r="J3987" s="3" t="str">
        <f>HYPERLINK("https://www.boe.es/gazeta/dias/1817/09/16/pdfs/GMD-1817-111.pdf#page=2","Abrir facsímil")</f>
        <v>Abrir facsímil</v>
      </c>
      <c r="K3987" s="3" t="s">
        <v>23</v>
      </c>
    </row>
    <row r="3988" spans="1:11" ht="42" customHeight="1">
      <c r="A3988" s="2" t="s">
        <v>9613</v>
      </c>
      <c r="B3988" s="2" t="s">
        <v>9613</v>
      </c>
      <c r="C3988" s="2" t="s">
        <v>36</v>
      </c>
      <c r="D3988" s="2" t="s">
        <v>37</v>
      </c>
      <c r="E3988" s="5">
        <v>-30277</v>
      </c>
      <c r="F3988" s="3" t="s">
        <v>3822</v>
      </c>
      <c r="G3988" s="3" t="s">
        <v>551</v>
      </c>
      <c r="H3988" s="2" t="s">
        <v>21</v>
      </c>
      <c r="I3988" s="2" t="s">
        <v>9614</v>
      </c>
      <c r="J3988" s="3" t="str">
        <f>HYPERLINK("https://www.boe.es/gazeta/dias/1817/02/06/pdfs/GMD-1817-16.pdf#page=3","Abrir facsímil")</f>
        <v>Abrir facsímil</v>
      </c>
      <c r="K3988" s="3" t="s">
        <v>23</v>
      </c>
    </row>
    <row r="3989" spans="1:11" ht="42" customHeight="1">
      <c r="A3989" s="2" t="s">
        <v>9615</v>
      </c>
      <c r="B3989" s="2" t="s">
        <v>9615</v>
      </c>
      <c r="C3989" s="2" t="s">
        <v>36</v>
      </c>
      <c r="D3989" s="2" t="s">
        <v>37</v>
      </c>
      <c r="E3989" s="5">
        <v>-30158</v>
      </c>
      <c r="F3989" s="3" t="s">
        <v>305</v>
      </c>
      <c r="G3989" s="3" t="s">
        <v>551</v>
      </c>
      <c r="H3989" s="2" t="s">
        <v>21</v>
      </c>
      <c r="I3989" s="2" t="s">
        <v>9616</v>
      </c>
      <c r="J3989" s="3" t="str">
        <f>HYPERLINK("https://www.boe.es/gazeta/dias/1817/06/05/pdfs/GMD-1817-67.pdf#page=3","Abrir facsímil")</f>
        <v>Abrir facsímil</v>
      </c>
      <c r="K3989" s="3" t="s">
        <v>23</v>
      </c>
    </row>
    <row r="3990" spans="1:11" ht="42" customHeight="1">
      <c r="A3990" s="2" t="s">
        <v>9617</v>
      </c>
      <c r="B3990" s="2" t="s">
        <v>9618</v>
      </c>
      <c r="C3990" s="2" t="s">
        <v>36</v>
      </c>
      <c r="D3990" s="2" t="s">
        <v>37</v>
      </c>
      <c r="E3990" s="5">
        <v>-30303</v>
      </c>
      <c r="F3990" s="3" t="s">
        <v>407</v>
      </c>
      <c r="G3990" s="3" t="s">
        <v>72</v>
      </c>
      <c r="H3990" s="2" t="s">
        <v>21</v>
      </c>
      <c r="I3990" s="2" t="s">
        <v>9619</v>
      </c>
      <c r="J3990" s="3" t="str">
        <f>HYPERLINK("https://www.boe.es/gazeta/dias/1817/01/11/pdfs/GMD-1817-5.pdf#page=1","Abrir facsímil")</f>
        <v>Abrir facsímil</v>
      </c>
      <c r="K3990" s="3" t="s">
        <v>23</v>
      </c>
    </row>
    <row r="3991" spans="1:11" ht="42" customHeight="1">
      <c r="A3991" s="2" t="s">
        <v>9620</v>
      </c>
      <c r="B3991" s="2" t="s">
        <v>9621</v>
      </c>
      <c r="C3991" s="2" t="s">
        <v>36</v>
      </c>
      <c r="D3991" s="2" t="s">
        <v>37</v>
      </c>
      <c r="E3991" s="5">
        <v>-30303</v>
      </c>
      <c r="F3991" s="3" t="s">
        <v>407</v>
      </c>
      <c r="G3991" s="3" t="s">
        <v>72</v>
      </c>
      <c r="H3991" s="2" t="s">
        <v>21</v>
      </c>
      <c r="I3991" s="2" t="s">
        <v>9622</v>
      </c>
      <c r="J3991" s="3" t="str">
        <f>HYPERLINK("https://www.boe.es/gazeta/dias/1817/01/11/pdfs/GMD-1817-5.pdf#page=1","Abrir facsímil")</f>
        <v>Abrir facsímil</v>
      </c>
      <c r="K3991" s="3" t="s">
        <v>23</v>
      </c>
    </row>
    <row r="3992" spans="1:11" ht="42" customHeight="1">
      <c r="A3992" s="2" t="s">
        <v>9623</v>
      </c>
      <c r="B3992" s="2" t="s">
        <v>9624</v>
      </c>
      <c r="C3992" s="2" t="s">
        <v>36</v>
      </c>
      <c r="D3992" s="2" t="s">
        <v>37</v>
      </c>
      <c r="E3992" s="5">
        <v>-30058</v>
      </c>
      <c r="F3992" s="3" t="s">
        <v>1385</v>
      </c>
      <c r="G3992" s="3" t="s">
        <v>8155</v>
      </c>
      <c r="H3992" s="2" t="s">
        <v>21</v>
      </c>
      <c r="I3992" s="2" t="s">
        <v>9625</v>
      </c>
      <c r="J3992" s="3" t="str">
        <f>HYPERLINK("https://www.boe.es/gazeta/dias/1817/09/13/pdfs/GMD-1817-110.pdf#page=2","Abrir facsímil")</f>
        <v>Abrir facsímil</v>
      </c>
      <c r="K3992" s="3" t="s">
        <v>23</v>
      </c>
    </row>
    <row r="3993" spans="1:11" ht="42" customHeight="1">
      <c r="A3993" s="2" t="s">
        <v>9626</v>
      </c>
      <c r="B3993" s="2" t="s">
        <v>9626</v>
      </c>
      <c r="C3993" s="2" t="s">
        <v>17</v>
      </c>
      <c r="D3993" s="2" t="s">
        <v>18</v>
      </c>
      <c r="E3993" s="5">
        <v>-30296</v>
      </c>
      <c r="F3993" s="3" t="s">
        <v>357</v>
      </c>
      <c r="G3993" s="3" t="s">
        <v>72</v>
      </c>
      <c r="H3993" s="2" t="s">
        <v>21</v>
      </c>
      <c r="I3993" s="2" t="s">
        <v>9627</v>
      </c>
      <c r="J3993" s="3" t="str">
        <f>HYPERLINK("https://www.boe.es/gazeta/dias/1817/01/18/pdfs/GMD-1817-8.pdf#page=1","Abrir facsímil")</f>
        <v>Abrir facsímil</v>
      </c>
      <c r="K3993" s="3" t="s">
        <v>23</v>
      </c>
    </row>
    <row r="3994" spans="1:11" ht="42" customHeight="1">
      <c r="A3994" s="2" t="s">
        <v>9628</v>
      </c>
      <c r="B3994" s="2" t="s">
        <v>9628</v>
      </c>
      <c r="C3994" s="2" t="s">
        <v>36</v>
      </c>
      <c r="D3994" s="2" t="s">
        <v>37</v>
      </c>
      <c r="E3994" s="5">
        <v>-30226</v>
      </c>
      <c r="F3994" s="3" t="s">
        <v>416</v>
      </c>
      <c r="G3994" s="3" t="s">
        <v>39</v>
      </c>
      <c r="H3994" s="2" t="s">
        <v>21</v>
      </c>
      <c r="I3994" s="2" t="s">
        <v>9629</v>
      </c>
      <c r="J3994" s="3" t="str">
        <f>HYPERLINK("https://www.boe.es/gazeta/dias/1817/03/29/pdfs/GMD-1817-38.pdf#page=5","Abrir facsímil")</f>
        <v>Abrir facsímil</v>
      </c>
      <c r="K3994" s="3" t="s">
        <v>23</v>
      </c>
    </row>
    <row r="3995" spans="1:11" ht="42" customHeight="1">
      <c r="A3995" s="2" t="s">
        <v>9628</v>
      </c>
      <c r="B3995" s="2" t="s">
        <v>9628</v>
      </c>
      <c r="C3995" s="2" t="s">
        <v>55</v>
      </c>
      <c r="D3995" s="2" t="s">
        <v>44</v>
      </c>
      <c r="E3995" s="5">
        <v>-29953</v>
      </c>
      <c r="F3995" s="3" t="s">
        <v>793</v>
      </c>
      <c r="G3995" s="3" t="s">
        <v>794</v>
      </c>
      <c r="H3995" s="2" t="s">
        <v>21</v>
      </c>
      <c r="I3995" s="2" t="s">
        <v>9630</v>
      </c>
      <c r="J3995" s="3" t="str">
        <f>HYPERLINK("https://www.boe.es/gazeta/dias/1817/12/27/pdfs/GMD-1817-155.pdf#page=8","Abrir facsímil")</f>
        <v>Abrir facsímil</v>
      </c>
      <c r="K3995" s="3" t="s">
        <v>23</v>
      </c>
    </row>
    <row r="3996" spans="1:11" ht="42" customHeight="1">
      <c r="A3996" s="2" t="s">
        <v>9631</v>
      </c>
      <c r="B3996" s="2" t="s">
        <v>9631</v>
      </c>
      <c r="C3996" s="2" t="s">
        <v>36</v>
      </c>
      <c r="D3996" s="2" t="s">
        <v>37</v>
      </c>
      <c r="E3996" s="5">
        <v>-29960</v>
      </c>
      <c r="F3996" s="3" t="s">
        <v>657</v>
      </c>
      <c r="G3996" s="3" t="s">
        <v>112</v>
      </c>
      <c r="H3996" s="2" t="s">
        <v>21</v>
      </c>
      <c r="I3996" s="2" t="s">
        <v>9632</v>
      </c>
      <c r="J3996" s="3" t="str">
        <f>HYPERLINK("https://www.boe.es/gazeta/dias/1817/12/20/pdfs/GMD-1817-152.pdf#page=11","Abrir facsímil")</f>
        <v>Abrir facsímil</v>
      </c>
      <c r="K3996" s="3" t="s">
        <v>23</v>
      </c>
    </row>
    <row r="3997" spans="1:11" ht="42" customHeight="1">
      <c r="A3997" s="2" t="s">
        <v>9633</v>
      </c>
      <c r="B3997" s="2" t="s">
        <v>9633</v>
      </c>
      <c r="C3997" s="2" t="s">
        <v>510</v>
      </c>
      <c r="D3997" s="2" t="s">
        <v>44</v>
      </c>
      <c r="E3997" s="5">
        <v>-30158</v>
      </c>
      <c r="F3997" s="3" t="s">
        <v>305</v>
      </c>
      <c r="G3997" s="3" t="s">
        <v>629</v>
      </c>
      <c r="H3997" s="2" t="s">
        <v>21</v>
      </c>
      <c r="I3997" s="2" t="s">
        <v>9634</v>
      </c>
      <c r="J3997" s="3" t="str">
        <f>HYPERLINK("https://www.boe.es/gazeta/dias/1817/06/05/pdfs/GMD-1817-67.pdf#page=2","Abrir facsímil")</f>
        <v>Abrir facsímil</v>
      </c>
      <c r="K3997" s="3" t="s">
        <v>23</v>
      </c>
    </row>
    <row r="3998" spans="1:11" ht="42" customHeight="1">
      <c r="A3998" s="2" t="s">
        <v>9635</v>
      </c>
      <c r="B3998" s="2" t="s">
        <v>9636</v>
      </c>
      <c r="C3998" s="2" t="s">
        <v>17</v>
      </c>
      <c r="D3998" s="2" t="s">
        <v>18</v>
      </c>
      <c r="E3998" s="5">
        <v>-30237</v>
      </c>
      <c r="F3998" s="3" t="s">
        <v>56</v>
      </c>
      <c r="G3998" s="3" t="s">
        <v>57</v>
      </c>
      <c r="H3998" s="2" t="s">
        <v>21</v>
      </c>
      <c r="I3998" s="2" t="s">
        <v>9637</v>
      </c>
      <c r="J3998" s="3" t="str">
        <f>HYPERLINK("https://www.boe.es/gazeta/dias/1817/03/18/pdfs/GMD-1817-33.pdf#page=6","Abrir facsímil")</f>
        <v>Abrir facsímil</v>
      </c>
      <c r="K3998" s="3" t="s">
        <v>23</v>
      </c>
    </row>
    <row r="3999" spans="1:11" ht="42" customHeight="1">
      <c r="A3999" s="2" t="s">
        <v>9638</v>
      </c>
      <c r="B3999" s="2" t="s">
        <v>9638</v>
      </c>
      <c r="C3999" s="2" t="s">
        <v>36</v>
      </c>
      <c r="D3999" s="2" t="s">
        <v>37</v>
      </c>
      <c r="E3999" s="5">
        <v>-29999</v>
      </c>
      <c r="F3999" s="3" t="s">
        <v>471</v>
      </c>
      <c r="G3999" s="3" t="s">
        <v>9639</v>
      </c>
      <c r="H3999" s="2" t="s">
        <v>21</v>
      </c>
      <c r="I3999" s="2" t="s">
        <v>9640</v>
      </c>
      <c r="J3999" s="3" t="str">
        <f>HYPERLINK("https://www.boe.es/gazeta/dias/1817/11/11/pdfs/GMD-1817-135.pdf#page=2","Abrir facsímil")</f>
        <v>Abrir facsímil</v>
      </c>
      <c r="K3999" s="3" t="s">
        <v>23</v>
      </c>
    </row>
    <row r="4000" spans="1:11" ht="42" customHeight="1">
      <c r="A4000" s="2" t="s">
        <v>9641</v>
      </c>
      <c r="B4000" s="2" t="s">
        <v>9641</v>
      </c>
      <c r="C4000" s="2" t="s">
        <v>36</v>
      </c>
      <c r="D4000" s="2" t="s">
        <v>37</v>
      </c>
      <c r="E4000" s="5">
        <v>-30300</v>
      </c>
      <c r="F4000" s="3" t="s">
        <v>164</v>
      </c>
      <c r="G4000" s="3" t="s">
        <v>629</v>
      </c>
      <c r="H4000" s="2" t="s">
        <v>21</v>
      </c>
      <c r="I4000" s="2" t="s">
        <v>9642</v>
      </c>
      <c r="J4000" s="3" t="str">
        <f>HYPERLINK("https://www.boe.es/gazeta/dias/1817/01/14/pdfs/GMD-1817-6.pdf#page=2","Abrir facsímil")</f>
        <v>Abrir facsímil</v>
      </c>
      <c r="K4000" s="3" t="s">
        <v>23</v>
      </c>
    </row>
    <row r="4001" spans="1:11" ht="42" customHeight="1">
      <c r="A4001" s="2" t="s">
        <v>9643</v>
      </c>
      <c r="B4001" s="2" t="s">
        <v>9644</v>
      </c>
      <c r="C4001" s="2" t="s">
        <v>36</v>
      </c>
      <c r="D4001" s="2" t="s">
        <v>37</v>
      </c>
      <c r="E4001" s="5">
        <v>-30305</v>
      </c>
      <c r="F4001" s="3" t="s">
        <v>405</v>
      </c>
      <c r="G4001" s="3" t="s">
        <v>4670</v>
      </c>
      <c r="H4001" s="2" t="s">
        <v>21</v>
      </c>
      <c r="I4001" s="2" t="s">
        <v>9645</v>
      </c>
      <c r="J4001" s="3" t="str">
        <f>HYPERLINK("https://www.boe.es/gazeta/dias/1817/01/09/pdfs/GMD-1817-4.pdf#page=6","Abrir facsímil")</f>
        <v>Abrir facsímil</v>
      </c>
      <c r="K4001" s="3" t="s">
        <v>23</v>
      </c>
    </row>
    <row r="4002" spans="1:11" ht="42" customHeight="1">
      <c r="A4002" s="2" t="s">
        <v>9646</v>
      </c>
      <c r="B4002" s="2" t="s">
        <v>9646</v>
      </c>
      <c r="C4002" s="2" t="s">
        <v>510</v>
      </c>
      <c r="D4002" s="2" t="s">
        <v>44</v>
      </c>
      <c r="E4002" s="5">
        <v>-30023</v>
      </c>
      <c r="F4002" s="3" t="s">
        <v>460</v>
      </c>
      <c r="G4002" s="3" t="s">
        <v>72</v>
      </c>
      <c r="H4002" s="2" t="s">
        <v>21</v>
      </c>
      <c r="I4002" s="2" t="s">
        <v>9647</v>
      </c>
      <c r="J4002" s="3" t="str">
        <f>HYPERLINK("https://www.boe.es/gazeta/dias/1817/10/18/pdfs/GMD-1817-125.pdf#page=1","Abrir facsímil")</f>
        <v>Abrir facsímil</v>
      </c>
      <c r="K4002" s="3" t="s">
        <v>23</v>
      </c>
    </row>
    <row r="4003" spans="1:11" ht="42" customHeight="1">
      <c r="A4003" s="2" t="s">
        <v>9648</v>
      </c>
      <c r="B4003" s="2" t="s">
        <v>9649</v>
      </c>
      <c r="C4003" s="2" t="s">
        <v>17</v>
      </c>
      <c r="D4003" s="2" t="s">
        <v>18</v>
      </c>
      <c r="E4003" s="5">
        <v>-30130</v>
      </c>
      <c r="F4003" s="3" t="s">
        <v>768</v>
      </c>
      <c r="G4003" s="3" t="s">
        <v>72</v>
      </c>
      <c r="H4003" s="2" t="s">
        <v>21</v>
      </c>
      <c r="I4003" s="2" t="s">
        <v>9650</v>
      </c>
      <c r="J4003" s="3" t="str">
        <f>HYPERLINK("https://www.boe.es/gazeta/dias/1817/07/03/pdfs/GMD-1817-79.pdf#page=1","Abrir facsímil")</f>
        <v>Abrir facsímil</v>
      </c>
      <c r="K4003" s="3" t="s">
        <v>23</v>
      </c>
    </row>
    <row r="4004" spans="1:11" ht="42" customHeight="1">
      <c r="A4004" s="2" t="s">
        <v>9651</v>
      </c>
      <c r="B4004" s="2" t="s">
        <v>9651</v>
      </c>
      <c r="C4004" s="2" t="s">
        <v>36</v>
      </c>
      <c r="D4004" s="2" t="s">
        <v>37</v>
      </c>
      <c r="E4004" s="5">
        <v>-30081</v>
      </c>
      <c r="F4004" s="3" t="s">
        <v>133</v>
      </c>
      <c r="G4004" s="3" t="s">
        <v>1065</v>
      </c>
      <c r="H4004" s="2" t="s">
        <v>21</v>
      </c>
      <c r="I4004" s="2" t="s">
        <v>9652</v>
      </c>
      <c r="J4004" s="3" t="str">
        <f>HYPERLINK("https://www.boe.es/gazeta/dias/1817/08/21/pdfs/GMD-1817-100.pdf#page=4","Abrir facsímil")</f>
        <v>Abrir facsímil</v>
      </c>
      <c r="K4004" s="3" t="s">
        <v>23</v>
      </c>
    </row>
    <row r="4005" spans="1:11" ht="42" customHeight="1">
      <c r="A4005" s="2" t="s">
        <v>9653</v>
      </c>
      <c r="B4005" s="2" t="s">
        <v>9654</v>
      </c>
      <c r="C4005" s="2" t="s">
        <v>36</v>
      </c>
      <c r="D4005" s="2" t="s">
        <v>37</v>
      </c>
      <c r="E4005" s="5">
        <v>-30151</v>
      </c>
      <c r="F4005" s="3" t="s">
        <v>1422</v>
      </c>
      <c r="G4005" s="3" t="s">
        <v>629</v>
      </c>
      <c r="H4005" s="2" t="s">
        <v>21</v>
      </c>
      <c r="I4005" s="2" t="s">
        <v>9655</v>
      </c>
      <c r="J4005" s="3" t="str">
        <f>HYPERLINK("https://www.boe.es/gazeta/dias/1817/06/12/pdfs/GMD-1817-70.pdf#page=2","Abrir facsímil")</f>
        <v>Abrir facsímil</v>
      </c>
      <c r="K4005" s="3" t="s">
        <v>23</v>
      </c>
    </row>
    <row r="4006" spans="1:11" ht="42" customHeight="1">
      <c r="A4006" s="2" t="s">
        <v>9656</v>
      </c>
      <c r="B4006" s="2" t="s">
        <v>9657</v>
      </c>
      <c r="C4006" s="2" t="s">
        <v>17</v>
      </c>
      <c r="D4006" s="2" t="s">
        <v>18</v>
      </c>
      <c r="E4006" s="5">
        <v>-30202</v>
      </c>
      <c r="F4006" s="3" t="s">
        <v>418</v>
      </c>
      <c r="G4006" s="3" t="s">
        <v>72</v>
      </c>
      <c r="H4006" s="2" t="s">
        <v>21</v>
      </c>
      <c r="I4006" s="2" t="s">
        <v>9658</v>
      </c>
      <c r="J4006" s="3" t="str">
        <f>HYPERLINK("https://www.boe.es/gazeta/dias/1817/04/22/pdfs/GMD-1817-48.pdf#page=1","Abrir facsímil")</f>
        <v>Abrir facsímil</v>
      </c>
      <c r="K4006" s="3" t="s">
        <v>23</v>
      </c>
    </row>
    <row r="4007" spans="1:11" ht="42" customHeight="1">
      <c r="A4007" s="2" t="s">
        <v>9659</v>
      </c>
      <c r="B4007" s="2" t="s">
        <v>9660</v>
      </c>
      <c r="C4007" s="2" t="s">
        <v>49</v>
      </c>
      <c r="D4007" s="2" t="s">
        <v>44</v>
      </c>
      <c r="E4007" s="5">
        <v>-30244</v>
      </c>
      <c r="F4007" s="3" t="s">
        <v>1482</v>
      </c>
      <c r="G4007" s="3" t="s">
        <v>77</v>
      </c>
      <c r="H4007" s="2" t="s">
        <v>27</v>
      </c>
      <c r="I4007" s="2" t="s">
        <v>9661</v>
      </c>
      <c r="J4007" s="3" t="str">
        <f>HYPERLINK("https://www.boe.es/gazeta/dias/1817/03/11/pdfs/GMD-1817-30.pdf#page=8","Abrir facsímil")</f>
        <v>Abrir facsímil</v>
      </c>
      <c r="K4007" s="3" t="s">
        <v>29</v>
      </c>
    </row>
    <row r="4008" spans="1:11" ht="42" customHeight="1">
      <c r="A4008" s="2" t="s">
        <v>9662</v>
      </c>
      <c r="B4008" s="2" t="s">
        <v>9663</v>
      </c>
      <c r="C4008" s="2" t="s">
        <v>55</v>
      </c>
      <c r="D4008" s="2" t="s">
        <v>44</v>
      </c>
      <c r="E4008" s="5">
        <v>-29971</v>
      </c>
      <c r="F4008" s="3" t="s">
        <v>517</v>
      </c>
      <c r="G4008" s="3" t="s">
        <v>39</v>
      </c>
      <c r="H4008" s="2" t="s">
        <v>27</v>
      </c>
      <c r="I4008" s="2" t="s">
        <v>9664</v>
      </c>
      <c r="J4008" s="3" t="str">
        <f>HYPERLINK("https://www.boe.es/gazeta/dias/1817/12/09/pdfs/GMD-1817-147.pdf#page=5","Abrir facsímil")</f>
        <v>Abrir facsímil</v>
      </c>
      <c r="K4008" s="3" t="s">
        <v>29</v>
      </c>
    </row>
    <row r="4009" spans="1:11" ht="42" customHeight="1">
      <c r="A4009" s="2" t="s">
        <v>9665</v>
      </c>
      <c r="B4009" s="2" t="s">
        <v>9666</v>
      </c>
      <c r="C4009" s="2" t="s">
        <v>97</v>
      </c>
      <c r="D4009" s="2" t="s">
        <v>44</v>
      </c>
      <c r="E4009" s="5">
        <v>-30198</v>
      </c>
      <c r="F4009" s="3" t="s">
        <v>2185</v>
      </c>
      <c r="G4009" s="3" t="s">
        <v>2186</v>
      </c>
      <c r="H4009" s="2" t="s">
        <v>21</v>
      </c>
      <c r="I4009" s="2" t="s">
        <v>9667</v>
      </c>
      <c r="J4009" s="3" t="str">
        <f>HYPERLINK("https://www.boe.es/gazeta/dias/1817/04/26/pdfs/GMD-1817-50.pdf#page=8","Abrir facsímil")</f>
        <v>Abrir facsímil</v>
      </c>
      <c r="K4009" s="3" t="s">
        <v>23</v>
      </c>
    </row>
    <row r="4010" spans="1:11" ht="42" customHeight="1">
      <c r="A4010" s="2" t="s">
        <v>9668</v>
      </c>
      <c r="B4010" s="2" t="s">
        <v>9669</v>
      </c>
      <c r="C4010" s="2" t="s">
        <v>510</v>
      </c>
      <c r="D4010" s="2" t="s">
        <v>44</v>
      </c>
      <c r="E4010" s="5">
        <v>-30130</v>
      </c>
      <c r="F4010" s="3" t="s">
        <v>768</v>
      </c>
      <c r="G4010" s="3" t="s">
        <v>77</v>
      </c>
      <c r="H4010" s="2" t="s">
        <v>21</v>
      </c>
      <c r="I4010" s="2" t="s">
        <v>9670</v>
      </c>
      <c r="J4010" s="3" t="str">
        <f>HYPERLINK("https://www.boe.es/gazeta/dias/1817/07/03/pdfs/GMD-1817-79.pdf#page=8","Abrir facsímil")</f>
        <v>Abrir facsímil</v>
      </c>
      <c r="K4010" s="3" t="s">
        <v>23</v>
      </c>
    </row>
    <row r="4011" spans="1:11" ht="42" customHeight="1">
      <c r="A4011" s="2" t="s">
        <v>9671</v>
      </c>
      <c r="B4011" s="2" t="s">
        <v>9672</v>
      </c>
      <c r="C4011" s="2" t="s">
        <v>17</v>
      </c>
      <c r="D4011" s="2" t="s">
        <v>18</v>
      </c>
      <c r="E4011" s="5">
        <v>-30027</v>
      </c>
      <c r="F4011" s="3" t="s">
        <v>173</v>
      </c>
      <c r="G4011" s="3" t="s">
        <v>77</v>
      </c>
      <c r="H4011" s="2" t="s">
        <v>27</v>
      </c>
      <c r="I4011" s="2" t="s">
        <v>9673</v>
      </c>
      <c r="J4011" s="3" t="str">
        <f>HYPERLINK("https://www.boe.es/gazeta/dias/1817/10/14/pdfs/GMD-1817-123.pdf#page=8","Abrir facsímil")</f>
        <v>Abrir facsímil</v>
      </c>
      <c r="K4011" s="3" t="s">
        <v>29</v>
      </c>
    </row>
    <row r="4012" spans="1:11" ht="42" customHeight="1">
      <c r="A4012" s="2" t="s">
        <v>9674</v>
      </c>
      <c r="B4012" s="2" t="s">
        <v>9674</v>
      </c>
      <c r="C4012" s="2" t="s">
        <v>36</v>
      </c>
      <c r="D4012" s="2" t="s">
        <v>37</v>
      </c>
      <c r="E4012" s="5">
        <v>-30160</v>
      </c>
      <c r="F4012" s="3" t="s">
        <v>116</v>
      </c>
      <c r="G4012" s="3" t="s">
        <v>567</v>
      </c>
      <c r="H4012" s="2" t="s">
        <v>21</v>
      </c>
      <c r="I4012" s="2" t="s">
        <v>9675</v>
      </c>
      <c r="J4012" s="3" t="str">
        <f>HYPERLINK("https://www.boe.es/gazeta/dias/1817/06/03/pdfs/GMD-1817-66.pdf#page=6","Abrir facsímil")</f>
        <v>Abrir facsímil</v>
      </c>
      <c r="K4012" s="3" t="s">
        <v>23</v>
      </c>
    </row>
    <row r="4013" spans="1:11" ht="42" customHeight="1">
      <c r="A4013" s="2" t="s">
        <v>9676</v>
      </c>
      <c r="B4013" s="2" t="s">
        <v>9677</v>
      </c>
      <c r="C4013" s="2" t="s">
        <v>17</v>
      </c>
      <c r="D4013" s="2" t="s">
        <v>18</v>
      </c>
      <c r="E4013" s="5">
        <v>-30109</v>
      </c>
      <c r="F4013" s="3" t="s">
        <v>205</v>
      </c>
      <c r="G4013" s="3" t="s">
        <v>282</v>
      </c>
      <c r="H4013" s="2" t="s">
        <v>21</v>
      </c>
      <c r="I4013" s="2" t="s">
        <v>9678</v>
      </c>
      <c r="J4013" s="3" t="str">
        <f>HYPERLINK("https://www.boe.es/gazeta/dias/1817/07/24/pdfs/GMD-1817-88.pdf#page=15","Abrir facsímil")</f>
        <v>Abrir facsímil</v>
      </c>
      <c r="K4013" s="3" t="s">
        <v>23</v>
      </c>
    </row>
    <row r="4014" spans="1:11" ht="42" customHeight="1">
      <c r="A4014" s="2" t="s">
        <v>9679</v>
      </c>
      <c r="B4014" s="2" t="s">
        <v>9680</v>
      </c>
      <c r="C4014" s="2" t="s">
        <v>36</v>
      </c>
      <c r="D4014" s="2" t="s">
        <v>37</v>
      </c>
      <c r="E4014" s="5">
        <v>-29953</v>
      </c>
      <c r="F4014" s="3" t="s">
        <v>793</v>
      </c>
      <c r="G4014" s="3" t="s">
        <v>20</v>
      </c>
      <c r="H4014" s="2" t="s">
        <v>21</v>
      </c>
      <c r="I4014" s="2" t="s">
        <v>9681</v>
      </c>
      <c r="J4014" s="3" t="str">
        <f>HYPERLINK("https://www.boe.es/gazeta/dias/1817/12/27/pdfs/GMD-1817-155.pdf#page=7","Abrir facsímil")</f>
        <v>Abrir facsímil</v>
      </c>
      <c r="K4014" s="3" t="s">
        <v>23</v>
      </c>
    </row>
    <row r="4015" spans="1:11" ht="42" customHeight="1">
      <c r="A4015" s="2" t="s">
        <v>9682</v>
      </c>
      <c r="B4015" s="2" t="s">
        <v>9683</v>
      </c>
      <c r="C4015" s="2" t="s">
        <v>49</v>
      </c>
      <c r="D4015" s="2" t="s">
        <v>44</v>
      </c>
      <c r="E4015" s="5">
        <v>-30060</v>
      </c>
      <c r="F4015" s="3" t="s">
        <v>446</v>
      </c>
      <c r="G4015" s="3" t="s">
        <v>77</v>
      </c>
      <c r="H4015" s="2" t="s">
        <v>21</v>
      </c>
      <c r="I4015" s="2" t="s">
        <v>9684</v>
      </c>
      <c r="J4015" s="3" t="str">
        <f>HYPERLINK("https://www.boe.es/gazeta/dias/1817/09/11/pdfs/GMD-1817-109.pdf#page=8","Abrir facsímil")</f>
        <v>Abrir facsímil</v>
      </c>
      <c r="K4015" s="3" t="s">
        <v>23</v>
      </c>
    </row>
    <row r="4016" spans="1:11" ht="42" customHeight="1">
      <c r="A4016" s="2" t="s">
        <v>9685</v>
      </c>
      <c r="B4016" s="2" t="s">
        <v>9686</v>
      </c>
      <c r="C4016" s="2" t="s">
        <v>36</v>
      </c>
      <c r="D4016" s="2" t="s">
        <v>37</v>
      </c>
      <c r="E4016" s="5">
        <v>-30289</v>
      </c>
      <c r="F4016" s="3" t="s">
        <v>193</v>
      </c>
      <c r="G4016" s="3" t="s">
        <v>77</v>
      </c>
      <c r="H4016" s="2" t="s">
        <v>21</v>
      </c>
      <c r="I4016" s="2" t="s">
        <v>9687</v>
      </c>
      <c r="J4016" s="3" t="str">
        <f>HYPERLINK("https://www.boe.es/gazeta/dias/1817/01/25/pdfs/GMD-1817-11.pdf#page=8","Abrir facsímil")</f>
        <v>Abrir facsímil</v>
      </c>
      <c r="K4016" s="3" t="s">
        <v>23</v>
      </c>
    </row>
    <row r="4017" spans="1:11" ht="42" customHeight="1">
      <c r="A4017" s="2" t="s">
        <v>9688</v>
      </c>
      <c r="B4017" s="2" t="s">
        <v>9689</v>
      </c>
      <c r="C4017" s="2" t="s">
        <v>43</v>
      </c>
      <c r="D4017" s="2" t="s">
        <v>44</v>
      </c>
      <c r="E4017" s="5">
        <v>-30097</v>
      </c>
      <c r="F4017" s="3" t="s">
        <v>156</v>
      </c>
      <c r="G4017" s="3" t="s">
        <v>1596</v>
      </c>
      <c r="H4017" s="2" t="s">
        <v>21</v>
      </c>
      <c r="I4017" s="2" t="s">
        <v>9690</v>
      </c>
      <c r="J4017" s="3" t="str">
        <f>HYPERLINK("https://www.boe.es/gazeta/dias/1817/08/05/pdfs/GMD-1817-93.pdf#page=6","Abrir facsímil")</f>
        <v>Abrir facsímil</v>
      </c>
      <c r="K4017" s="3" t="s">
        <v>23</v>
      </c>
    </row>
    <row r="4018" spans="1:11" ht="42" customHeight="1">
      <c r="A4018" s="2" t="s">
        <v>9691</v>
      </c>
      <c r="B4018" s="2" t="s">
        <v>9692</v>
      </c>
      <c r="C4018" s="2" t="s">
        <v>43</v>
      </c>
      <c r="D4018" s="2" t="s">
        <v>44</v>
      </c>
      <c r="E4018" s="5">
        <v>-30107</v>
      </c>
      <c r="F4018" s="3" t="s">
        <v>307</v>
      </c>
      <c r="G4018" s="3" t="s">
        <v>4999</v>
      </c>
      <c r="H4018" s="2" t="s">
        <v>27</v>
      </c>
      <c r="I4018" s="2" t="s">
        <v>9693</v>
      </c>
      <c r="J4018" s="3" t="str">
        <f>HYPERLINK("https://www.boe.es/gazeta/dias/1817/07/26/pdfs/GMD-1817-89.pdf#page=4","Abrir facsímil")</f>
        <v>Abrir facsímil</v>
      </c>
      <c r="K4018" s="3" t="s">
        <v>29</v>
      </c>
    </row>
    <row r="4019" spans="1:11" ht="42" customHeight="1">
      <c r="A4019" s="2" t="s">
        <v>9694</v>
      </c>
      <c r="B4019" s="2" t="s">
        <v>9695</v>
      </c>
      <c r="C4019" s="2" t="s">
        <v>36</v>
      </c>
      <c r="D4019" s="2" t="s">
        <v>37</v>
      </c>
      <c r="E4019" s="5">
        <v>-30156</v>
      </c>
      <c r="F4019" s="3" t="s">
        <v>635</v>
      </c>
      <c r="G4019" s="3" t="s">
        <v>57</v>
      </c>
      <c r="H4019" s="2" t="s">
        <v>21</v>
      </c>
      <c r="I4019" s="2" t="s">
        <v>9696</v>
      </c>
      <c r="J4019" s="3" t="str">
        <f>HYPERLINK("https://www.boe.es/gazeta/dias/1817/06/07/pdfs/GMD-1817-68.pdf#page=6","Abrir facsímil")</f>
        <v>Abrir facsímil</v>
      </c>
      <c r="K4019" s="3" t="s">
        <v>23</v>
      </c>
    </row>
    <row r="4020" spans="1:11" ht="42" customHeight="1">
      <c r="A4020" s="2" t="s">
        <v>9697</v>
      </c>
      <c r="B4020" s="2" t="s">
        <v>9698</v>
      </c>
      <c r="C4020" s="2" t="s">
        <v>55</v>
      </c>
      <c r="D4020" s="2" t="s">
        <v>44</v>
      </c>
      <c r="E4020" s="5">
        <v>-30247</v>
      </c>
      <c r="F4020" s="3" t="s">
        <v>1796</v>
      </c>
      <c r="G4020" s="3" t="s">
        <v>3311</v>
      </c>
      <c r="H4020" s="2" t="s">
        <v>21</v>
      </c>
      <c r="I4020" s="2" t="s">
        <v>9699</v>
      </c>
      <c r="J4020" s="3" t="str">
        <f>HYPERLINK("https://www.boe.es/gazeta/dias/1817/03/08/pdfs/GMD-1817-29.pdf#page=8","Abrir facsímil")</f>
        <v>Abrir facsímil</v>
      </c>
      <c r="K4020" s="3" t="s">
        <v>23</v>
      </c>
    </row>
    <row r="4021" spans="1:11" ht="42" customHeight="1">
      <c r="A4021" s="2" t="s">
        <v>9700</v>
      </c>
      <c r="B4021" s="2" t="s">
        <v>9701</v>
      </c>
      <c r="C4021" s="2" t="s">
        <v>17</v>
      </c>
      <c r="D4021" s="2" t="s">
        <v>18</v>
      </c>
      <c r="E4021" s="5">
        <v>-30282</v>
      </c>
      <c r="F4021" s="3" t="s">
        <v>1049</v>
      </c>
      <c r="G4021" s="3" t="s">
        <v>2827</v>
      </c>
      <c r="H4021" s="2" t="s">
        <v>21</v>
      </c>
      <c r="I4021" s="2" t="s">
        <v>9702</v>
      </c>
      <c r="J4021" s="3" t="str">
        <f>HYPERLINK("https://www.boe.es/gazeta/dias/1817/02/01/pdfs/GMD-1817-14.pdf#page=8","Abrir facsímil")</f>
        <v>Abrir facsímil</v>
      </c>
      <c r="K4021" s="3" t="s">
        <v>23</v>
      </c>
    </row>
    <row r="4022" spans="1:11" ht="42" customHeight="1">
      <c r="A4022" s="2" t="s">
        <v>9700</v>
      </c>
      <c r="B4022" s="2" t="s">
        <v>9701</v>
      </c>
      <c r="C4022" s="2" t="s">
        <v>17</v>
      </c>
      <c r="D4022" s="2" t="s">
        <v>18</v>
      </c>
      <c r="E4022" s="5">
        <v>-30195</v>
      </c>
      <c r="F4022" s="3" t="s">
        <v>1163</v>
      </c>
      <c r="G4022" s="3" t="s">
        <v>3815</v>
      </c>
      <c r="H4022" s="2" t="s">
        <v>21</v>
      </c>
      <c r="I4022" s="2" t="s">
        <v>9703</v>
      </c>
      <c r="J4022" s="3" t="str">
        <f>HYPERLINK("https://www.boe.es/gazeta/dias/1817/04/29/pdfs/GMD-1817-51.pdf#page=7","Abrir facsímil")</f>
        <v>Abrir facsímil</v>
      </c>
      <c r="K4022" s="3" t="s">
        <v>23</v>
      </c>
    </row>
    <row r="4023" spans="1:11" ht="42" customHeight="1">
      <c r="A4023" s="2" t="s">
        <v>9700</v>
      </c>
      <c r="B4023" s="2" t="s">
        <v>9701</v>
      </c>
      <c r="C4023" s="2" t="s">
        <v>36</v>
      </c>
      <c r="D4023" s="2" t="s">
        <v>37</v>
      </c>
      <c r="E4023" s="5">
        <v>-30123</v>
      </c>
      <c r="F4023" s="3" t="s">
        <v>848</v>
      </c>
      <c r="G4023" s="3" t="s">
        <v>3877</v>
      </c>
      <c r="H4023" s="2" t="s">
        <v>21</v>
      </c>
      <c r="I4023" s="2" t="s">
        <v>9704</v>
      </c>
      <c r="J4023" s="3" t="str">
        <f>HYPERLINK("https://www.boe.es/gazeta/dias/1817/07/10/pdfs/GMD-1817-82.pdf#page=8","Abrir facsímil")</f>
        <v>Abrir facsímil</v>
      </c>
      <c r="K4023" s="3" t="s">
        <v>23</v>
      </c>
    </row>
    <row r="4024" spans="1:11" ht="42" customHeight="1">
      <c r="A4024" s="2" t="s">
        <v>9700</v>
      </c>
      <c r="B4024" s="2" t="s">
        <v>9701</v>
      </c>
      <c r="C4024" s="2" t="s">
        <v>17</v>
      </c>
      <c r="D4024" s="2" t="s">
        <v>18</v>
      </c>
      <c r="E4024" s="5">
        <v>-30044</v>
      </c>
      <c r="F4024" s="3" t="s">
        <v>450</v>
      </c>
      <c r="G4024" s="3" t="s">
        <v>451</v>
      </c>
      <c r="H4024" s="2" t="s">
        <v>21</v>
      </c>
      <c r="I4024" s="2" t="s">
        <v>9705</v>
      </c>
      <c r="J4024" s="3" t="str">
        <f>HYPERLINK("https://www.boe.es/gazeta/dias/1817/09/27/pdfs/GMD-1817-116.pdf#page=8","Abrir facsímil")</f>
        <v>Abrir facsímil</v>
      </c>
      <c r="K4024" s="3" t="s">
        <v>23</v>
      </c>
    </row>
    <row r="4025" spans="1:11" ht="42" customHeight="1">
      <c r="A4025" s="2" t="s">
        <v>9700</v>
      </c>
      <c r="B4025" s="2" t="s">
        <v>9701</v>
      </c>
      <c r="C4025" s="2" t="s">
        <v>17</v>
      </c>
      <c r="D4025" s="2" t="s">
        <v>18</v>
      </c>
      <c r="E4025" s="5">
        <v>-30016</v>
      </c>
      <c r="F4025" s="3" t="s">
        <v>2582</v>
      </c>
      <c r="G4025" s="3" t="s">
        <v>77</v>
      </c>
      <c r="H4025" s="2" t="s">
        <v>21</v>
      </c>
      <c r="I4025" s="2" t="s">
        <v>9706</v>
      </c>
      <c r="J4025" s="3" t="str">
        <f>HYPERLINK("https://www.boe.es/gazeta/dias/1817/10/25/pdfs/GMD-1817-128.pdf#page=8","Abrir facsímil")</f>
        <v>Abrir facsímil</v>
      </c>
      <c r="K4025" s="3" t="s">
        <v>23</v>
      </c>
    </row>
    <row r="4026" spans="1:11" ht="42" customHeight="1">
      <c r="A4026" s="2" t="s">
        <v>9707</v>
      </c>
      <c r="B4026" s="2" t="s">
        <v>9708</v>
      </c>
      <c r="C4026" s="2" t="s">
        <v>17</v>
      </c>
      <c r="D4026" s="2" t="s">
        <v>18</v>
      </c>
      <c r="E4026" s="5">
        <v>-30305</v>
      </c>
      <c r="F4026" s="3" t="s">
        <v>405</v>
      </c>
      <c r="G4026" s="3" t="s">
        <v>77</v>
      </c>
      <c r="H4026" s="2" t="s">
        <v>27</v>
      </c>
      <c r="I4026" s="2" t="s">
        <v>9709</v>
      </c>
      <c r="J4026" s="3" t="str">
        <f>HYPERLINK("https://www.boe.es/gazeta/dias/1817/01/09/pdfs/GMD-1817-4.pdf#page=8","Abrir facsímil")</f>
        <v>Abrir facsímil</v>
      </c>
      <c r="K4026" s="3" t="s">
        <v>29</v>
      </c>
    </row>
    <row r="4027" spans="1:11" ht="42" customHeight="1">
      <c r="A4027" s="2" t="s">
        <v>9707</v>
      </c>
      <c r="B4027" s="2" t="s">
        <v>9708</v>
      </c>
      <c r="C4027" s="2" t="s">
        <v>17</v>
      </c>
      <c r="D4027" s="2" t="s">
        <v>18</v>
      </c>
      <c r="E4027" s="5">
        <v>-30282</v>
      </c>
      <c r="F4027" s="3" t="s">
        <v>1049</v>
      </c>
      <c r="G4027" s="3" t="s">
        <v>2827</v>
      </c>
      <c r="H4027" s="2" t="s">
        <v>27</v>
      </c>
      <c r="I4027" s="2" t="s">
        <v>9710</v>
      </c>
      <c r="J4027" s="3" t="str">
        <f>HYPERLINK("https://www.boe.es/gazeta/dias/1817/02/01/pdfs/GMD-1817-14.pdf#page=8","Abrir facsímil")</f>
        <v>Abrir facsímil</v>
      </c>
      <c r="K4027" s="3" t="s">
        <v>29</v>
      </c>
    </row>
    <row r="4028" spans="1:11" ht="42" customHeight="1">
      <c r="A4028" s="2" t="s">
        <v>9707</v>
      </c>
      <c r="B4028" s="2" t="s">
        <v>9708</v>
      </c>
      <c r="C4028" s="2" t="s">
        <v>17</v>
      </c>
      <c r="D4028" s="2" t="s">
        <v>18</v>
      </c>
      <c r="E4028" s="5">
        <v>-30195</v>
      </c>
      <c r="F4028" s="3" t="s">
        <v>1163</v>
      </c>
      <c r="G4028" s="3" t="s">
        <v>3815</v>
      </c>
      <c r="H4028" s="2" t="s">
        <v>27</v>
      </c>
      <c r="I4028" s="2" t="s">
        <v>9711</v>
      </c>
      <c r="J4028" s="3" t="str">
        <f>HYPERLINK("https://www.boe.es/gazeta/dias/1817/04/29/pdfs/GMD-1817-51.pdf#page=7","Abrir facsímil")</f>
        <v>Abrir facsímil</v>
      </c>
      <c r="K4028" s="3" t="s">
        <v>29</v>
      </c>
    </row>
    <row r="4029" spans="1:11" ht="42" customHeight="1">
      <c r="A4029" s="2" t="s">
        <v>9707</v>
      </c>
      <c r="B4029" s="2" t="s">
        <v>9708</v>
      </c>
      <c r="C4029" s="2" t="s">
        <v>17</v>
      </c>
      <c r="D4029" s="2" t="s">
        <v>18</v>
      </c>
      <c r="E4029" s="5">
        <v>-30123</v>
      </c>
      <c r="F4029" s="3" t="s">
        <v>848</v>
      </c>
      <c r="G4029" s="3" t="s">
        <v>3877</v>
      </c>
      <c r="H4029" s="2" t="s">
        <v>27</v>
      </c>
      <c r="I4029" s="2" t="s">
        <v>9712</v>
      </c>
      <c r="J4029" s="3" t="str">
        <f>HYPERLINK("https://www.boe.es/gazeta/dias/1817/07/10/pdfs/GMD-1817-82.pdf#page=8","Abrir facsímil")</f>
        <v>Abrir facsímil</v>
      </c>
      <c r="K4029" s="3" t="s">
        <v>29</v>
      </c>
    </row>
    <row r="4030" spans="1:11" ht="42" customHeight="1">
      <c r="A4030" s="2" t="s">
        <v>9707</v>
      </c>
      <c r="B4030" s="2" t="s">
        <v>9708</v>
      </c>
      <c r="C4030" s="2" t="s">
        <v>17</v>
      </c>
      <c r="D4030" s="2" t="s">
        <v>18</v>
      </c>
      <c r="E4030" s="5">
        <v>-30039</v>
      </c>
      <c r="F4030" s="3" t="s">
        <v>558</v>
      </c>
      <c r="G4030" s="3" t="s">
        <v>20</v>
      </c>
      <c r="H4030" s="2" t="s">
        <v>27</v>
      </c>
      <c r="I4030" s="2" t="s">
        <v>9713</v>
      </c>
      <c r="J4030" s="3" t="str">
        <f>HYPERLINK("https://www.boe.es/gazeta/dias/1817/10/02/pdfs/GMD-1817-118.pdf#page=7","Abrir facsímil")</f>
        <v>Abrir facsímil</v>
      </c>
      <c r="K4030" s="3" t="s">
        <v>29</v>
      </c>
    </row>
    <row r="4031" spans="1:11" ht="42" customHeight="1">
      <c r="A4031" s="2" t="s">
        <v>9707</v>
      </c>
      <c r="B4031" s="2" t="s">
        <v>9708</v>
      </c>
      <c r="C4031" s="2" t="s">
        <v>17</v>
      </c>
      <c r="D4031" s="2" t="s">
        <v>18</v>
      </c>
      <c r="E4031" s="5">
        <v>-30030</v>
      </c>
      <c r="F4031" s="3" t="s">
        <v>508</v>
      </c>
      <c r="G4031" s="3" t="s">
        <v>112</v>
      </c>
      <c r="H4031" s="2" t="s">
        <v>27</v>
      </c>
      <c r="I4031" s="2" t="s">
        <v>9714</v>
      </c>
      <c r="J4031" s="3" t="str">
        <f>HYPERLINK("https://www.boe.es/gazeta/dias/1817/10/11/pdfs/GMD-1817-122.pdf#page=11","Abrir facsímil")</f>
        <v>Abrir facsímil</v>
      </c>
      <c r="K4031" s="3" t="s">
        <v>29</v>
      </c>
    </row>
    <row r="4032" spans="1:11" ht="42" customHeight="1">
      <c r="A4032" s="2" t="s">
        <v>9707</v>
      </c>
      <c r="B4032" s="2" t="s">
        <v>9708</v>
      </c>
      <c r="C4032" s="2" t="s">
        <v>17</v>
      </c>
      <c r="D4032" s="2" t="s">
        <v>18</v>
      </c>
      <c r="E4032" s="5">
        <v>-30027</v>
      </c>
      <c r="F4032" s="3" t="s">
        <v>173</v>
      </c>
      <c r="G4032" s="3" t="s">
        <v>20</v>
      </c>
      <c r="H4032" s="2" t="s">
        <v>27</v>
      </c>
      <c r="I4032" s="2" t="s">
        <v>9715</v>
      </c>
      <c r="J4032" s="3" t="str">
        <f>HYPERLINK("https://www.boe.es/gazeta/dias/1817/10/14/pdfs/GMD-1817-123.pdf#page=7","Abrir facsímil")</f>
        <v>Abrir facsímil</v>
      </c>
      <c r="K4032" s="3" t="s">
        <v>29</v>
      </c>
    </row>
    <row r="4033" spans="1:11" ht="42" customHeight="1">
      <c r="A4033" s="2" t="s">
        <v>9707</v>
      </c>
      <c r="B4033" s="2" t="s">
        <v>9708</v>
      </c>
      <c r="C4033" s="2" t="s">
        <v>17</v>
      </c>
      <c r="D4033" s="2" t="s">
        <v>18</v>
      </c>
      <c r="E4033" s="5">
        <v>-30016</v>
      </c>
      <c r="F4033" s="3" t="s">
        <v>2582</v>
      </c>
      <c r="G4033" s="3" t="s">
        <v>77</v>
      </c>
      <c r="H4033" s="2" t="s">
        <v>27</v>
      </c>
      <c r="I4033" s="2" t="s">
        <v>9716</v>
      </c>
      <c r="J4033" s="3" t="str">
        <f>HYPERLINK("https://www.boe.es/gazeta/dias/1817/10/25/pdfs/GMD-1817-128.pdf#page=8","Abrir facsímil")</f>
        <v>Abrir facsímil</v>
      </c>
      <c r="K4033" s="3" t="s">
        <v>29</v>
      </c>
    </row>
    <row r="4034" spans="1:11" ht="42" customHeight="1">
      <c r="A4034" s="2" t="s">
        <v>9707</v>
      </c>
      <c r="B4034" s="2" t="s">
        <v>9708</v>
      </c>
      <c r="C4034" s="2" t="s">
        <v>17</v>
      </c>
      <c r="D4034" s="2" t="s">
        <v>18</v>
      </c>
      <c r="E4034" s="5">
        <v>-29985</v>
      </c>
      <c r="F4034" s="3" t="s">
        <v>76</v>
      </c>
      <c r="G4034" s="3" t="s">
        <v>82</v>
      </c>
      <c r="H4034" s="2" t="s">
        <v>27</v>
      </c>
      <c r="I4034" s="2" t="s">
        <v>9717</v>
      </c>
      <c r="J4034" s="3" t="str">
        <f>HYPERLINK("https://www.boe.es/gazeta/dias/1817/11/25/pdfs/GMD-1817-141.pdf#page=12","Abrir facsímil")</f>
        <v>Abrir facsímil</v>
      </c>
      <c r="K4034" s="3" t="s">
        <v>29</v>
      </c>
    </row>
    <row r="4035" spans="1:11" ht="42" customHeight="1">
      <c r="A4035" s="2" t="s">
        <v>9707</v>
      </c>
      <c r="B4035" s="2" t="s">
        <v>9708</v>
      </c>
      <c r="C4035" s="2" t="s">
        <v>17</v>
      </c>
      <c r="D4035" s="2" t="s">
        <v>18</v>
      </c>
      <c r="E4035" s="5">
        <v>-29957</v>
      </c>
      <c r="F4035" s="3" t="s">
        <v>1001</v>
      </c>
      <c r="G4035" s="3" t="s">
        <v>3561</v>
      </c>
      <c r="H4035" s="2" t="s">
        <v>27</v>
      </c>
      <c r="I4035" s="2" t="s">
        <v>9718</v>
      </c>
      <c r="J4035" s="3" t="str">
        <f>HYPERLINK("https://www.boe.es/gazeta/dias/1817/12/23/pdfs/GMD-1817-153.pdf#page=8","Abrir facsímil")</f>
        <v>Abrir facsímil</v>
      </c>
      <c r="K4035" s="3" t="s">
        <v>29</v>
      </c>
    </row>
    <row r="4036" spans="1:11" ht="42" customHeight="1">
      <c r="A4036" s="2" t="s">
        <v>9719</v>
      </c>
      <c r="B4036" s="2" t="s">
        <v>9720</v>
      </c>
      <c r="C4036" s="2" t="s">
        <v>17</v>
      </c>
      <c r="D4036" s="2" t="s">
        <v>18</v>
      </c>
      <c r="E4036" s="5">
        <v>-30088</v>
      </c>
      <c r="F4036" s="3" t="s">
        <v>244</v>
      </c>
      <c r="G4036" s="3" t="s">
        <v>245</v>
      </c>
      <c r="H4036" s="2" t="s">
        <v>27</v>
      </c>
      <c r="I4036" s="2" t="s">
        <v>9721</v>
      </c>
      <c r="J4036" s="3" t="str">
        <f>HYPERLINK("https://www.boe.es/gazeta/dias/1817/08/14/pdfs/GMD-1817-97.pdf#page=8","Abrir facsímil")</f>
        <v>Abrir facsímil</v>
      </c>
      <c r="K4036" s="3" t="s">
        <v>29</v>
      </c>
    </row>
    <row r="4037" spans="1:11" ht="42" customHeight="1">
      <c r="A4037" s="2" t="s">
        <v>9722</v>
      </c>
      <c r="B4037" s="2" t="s">
        <v>9723</v>
      </c>
      <c r="C4037" s="2" t="s">
        <v>43</v>
      </c>
      <c r="D4037" s="2" t="s">
        <v>44</v>
      </c>
      <c r="E4037" s="5">
        <v>-29997</v>
      </c>
      <c r="F4037" s="3" t="s">
        <v>652</v>
      </c>
      <c r="G4037" s="3" t="s">
        <v>3059</v>
      </c>
      <c r="H4037" s="2" t="s">
        <v>27</v>
      </c>
      <c r="I4037" s="2" t="s">
        <v>9724</v>
      </c>
      <c r="J4037" s="3" t="str">
        <f>HYPERLINK("https://www.boe.es/gazeta/dias/1817/11/13/pdfs/GMD-1817-136.pdf#page=12","Abrir facsímil")</f>
        <v>Abrir facsímil</v>
      </c>
      <c r="K4037" s="3" t="s">
        <v>29</v>
      </c>
    </row>
    <row r="4038" spans="1:11" ht="42" customHeight="1">
      <c r="A4038" s="2" t="s">
        <v>9725</v>
      </c>
      <c r="B4038" s="2" t="s">
        <v>9726</v>
      </c>
      <c r="C4038" s="2" t="s">
        <v>17</v>
      </c>
      <c r="D4038" s="2" t="s">
        <v>18</v>
      </c>
      <c r="E4038" s="5">
        <v>-30156</v>
      </c>
      <c r="F4038" s="3" t="s">
        <v>635</v>
      </c>
      <c r="G4038" s="3" t="s">
        <v>77</v>
      </c>
      <c r="H4038" s="2" t="s">
        <v>27</v>
      </c>
      <c r="I4038" s="2" t="s">
        <v>9727</v>
      </c>
      <c r="J4038" s="3" t="str">
        <f>HYPERLINK("https://www.boe.es/gazeta/dias/1817/06/07/pdfs/GMD-1817-68.pdf#page=8","Abrir facsímil")</f>
        <v>Abrir facsímil</v>
      </c>
      <c r="K4038" s="3" t="s">
        <v>29</v>
      </c>
    </row>
    <row r="4039" spans="1:11" ht="42" customHeight="1">
      <c r="A4039" s="2" t="s">
        <v>9728</v>
      </c>
      <c r="B4039" s="2" t="s">
        <v>9729</v>
      </c>
      <c r="C4039" s="2" t="s">
        <v>36</v>
      </c>
      <c r="D4039" s="2" t="s">
        <v>37</v>
      </c>
      <c r="E4039" s="5">
        <v>-29955</v>
      </c>
      <c r="F4039" s="3" t="s">
        <v>805</v>
      </c>
      <c r="G4039" s="3" t="s">
        <v>806</v>
      </c>
      <c r="H4039" s="2" t="s">
        <v>21</v>
      </c>
      <c r="I4039" s="2" t="s">
        <v>9730</v>
      </c>
      <c r="J4039" s="3" t="str">
        <f>HYPERLINK("https://www.boe.es/gazeta/dias/1817/12/25/pdfs/GMD-1817-154.pdf#page=5","Abrir facsímil")</f>
        <v>Abrir facsímil</v>
      </c>
      <c r="K4039" s="3" t="s">
        <v>23</v>
      </c>
    </row>
    <row r="4040" spans="1:11" ht="42" customHeight="1">
      <c r="A4040" s="2" t="s">
        <v>9731</v>
      </c>
      <c r="B4040" s="2" t="s">
        <v>9732</v>
      </c>
      <c r="C4040" s="2" t="s">
        <v>36</v>
      </c>
      <c r="D4040" s="2" t="s">
        <v>37</v>
      </c>
      <c r="E4040" s="5">
        <v>-29964</v>
      </c>
      <c r="F4040" s="3" t="s">
        <v>482</v>
      </c>
      <c r="G4040" s="3" t="s">
        <v>112</v>
      </c>
      <c r="H4040" s="2" t="s">
        <v>21</v>
      </c>
      <c r="I4040" s="2" t="s">
        <v>9733</v>
      </c>
      <c r="J4040" s="3" t="str">
        <f>HYPERLINK("https://www.boe.es/gazeta/dias/1817/12/16/pdfs/GMD-1817-150.pdf#page=11","Abrir facsímil")</f>
        <v>Abrir facsímil</v>
      </c>
      <c r="K4040" s="3" t="s">
        <v>23</v>
      </c>
    </row>
    <row r="4041" spans="1:11" ht="42" customHeight="1">
      <c r="A4041" s="2" t="s">
        <v>9734</v>
      </c>
      <c r="B4041" s="2" t="s">
        <v>9735</v>
      </c>
      <c r="C4041" s="2" t="s">
        <v>36</v>
      </c>
      <c r="D4041" s="2" t="s">
        <v>37</v>
      </c>
      <c r="E4041" s="5">
        <v>-30109</v>
      </c>
      <c r="F4041" s="3" t="s">
        <v>205</v>
      </c>
      <c r="G4041" s="3" t="s">
        <v>6663</v>
      </c>
      <c r="H4041" s="2" t="s">
        <v>21</v>
      </c>
      <c r="I4041" s="2" t="s">
        <v>9736</v>
      </c>
      <c r="J4041" s="3" t="str">
        <f>HYPERLINK("https://www.boe.es/gazeta/dias/1817/07/24/pdfs/GMD-1817-88.pdf#page=14","Abrir facsímil")</f>
        <v>Abrir facsímil</v>
      </c>
      <c r="K4041" s="3" t="s">
        <v>23</v>
      </c>
    </row>
    <row r="4042" spans="1:11" ht="42" customHeight="1">
      <c r="A4042" s="2" t="s">
        <v>9737</v>
      </c>
      <c r="B4042" s="2" t="s">
        <v>9738</v>
      </c>
      <c r="C4042" s="2" t="s">
        <v>17</v>
      </c>
      <c r="D4042" s="2" t="s">
        <v>18</v>
      </c>
      <c r="E4042" s="5">
        <v>-30277</v>
      </c>
      <c r="F4042" s="3" t="s">
        <v>3822</v>
      </c>
      <c r="G4042" s="3" t="s">
        <v>77</v>
      </c>
      <c r="H4042" s="2" t="s">
        <v>27</v>
      </c>
      <c r="I4042" s="2" t="s">
        <v>9739</v>
      </c>
      <c r="J4042" s="3" t="str">
        <f>HYPERLINK("https://www.boe.es/gazeta/dias/1817/02/06/pdfs/GMD-1817-16.pdf#page=8","Abrir facsímil")</f>
        <v>Abrir facsímil</v>
      </c>
      <c r="K4042" s="3" t="s">
        <v>29</v>
      </c>
    </row>
    <row r="4043" spans="1:11" ht="42" customHeight="1">
      <c r="A4043" s="2" t="s">
        <v>9740</v>
      </c>
      <c r="B4043" s="2" t="s">
        <v>9740</v>
      </c>
      <c r="C4043" s="2" t="s">
        <v>97</v>
      </c>
      <c r="D4043" s="2" t="s">
        <v>44</v>
      </c>
      <c r="E4043" s="5">
        <v>-30027</v>
      </c>
      <c r="F4043" s="3" t="s">
        <v>173</v>
      </c>
      <c r="G4043" s="3" t="s">
        <v>629</v>
      </c>
      <c r="H4043" s="2" t="s">
        <v>21</v>
      </c>
      <c r="I4043" s="2" t="s">
        <v>9741</v>
      </c>
      <c r="J4043" s="3" t="str">
        <f>HYPERLINK("https://www.boe.es/gazeta/dias/1817/10/14/pdfs/GMD-1817-123.pdf#page=2","Abrir facsímil")</f>
        <v>Abrir facsímil</v>
      </c>
      <c r="K4043" s="3" t="s">
        <v>23</v>
      </c>
    </row>
    <row r="4044" spans="1:11" ht="42" customHeight="1">
      <c r="A4044" s="2" t="s">
        <v>9742</v>
      </c>
      <c r="B4044" s="2" t="s">
        <v>9743</v>
      </c>
      <c r="C4044" s="2" t="s">
        <v>55</v>
      </c>
      <c r="D4044" s="2" t="s">
        <v>44</v>
      </c>
      <c r="E4044" s="5">
        <v>-30114</v>
      </c>
      <c r="F4044" s="3" t="s">
        <v>500</v>
      </c>
      <c r="G4044" s="3" t="s">
        <v>915</v>
      </c>
      <c r="H4044" s="2" t="s">
        <v>27</v>
      </c>
      <c r="I4044" s="2" t="s">
        <v>9744</v>
      </c>
      <c r="J4044" s="3" t="str">
        <f>HYPERLINK("https://www.boe.es/gazeta/dias/1817/07/19/pdfs/GMD-1817-86.pdf#page=6","Abrir facsímil")</f>
        <v>Abrir facsímil</v>
      </c>
      <c r="K4044" s="3" t="s">
        <v>29</v>
      </c>
    </row>
    <row r="4045" spans="1:11" ht="42" customHeight="1">
      <c r="A4045" s="2" t="s">
        <v>9745</v>
      </c>
      <c r="B4045" s="2" t="s">
        <v>9746</v>
      </c>
      <c r="C4045" s="2" t="s">
        <v>138</v>
      </c>
      <c r="D4045" s="2" t="s">
        <v>44</v>
      </c>
      <c r="E4045" s="5">
        <v>-30065</v>
      </c>
      <c r="F4045" s="3" t="s">
        <v>201</v>
      </c>
      <c r="G4045" s="3" t="s">
        <v>57</v>
      </c>
      <c r="H4045" s="2" t="s">
        <v>21</v>
      </c>
      <c r="I4045" s="2" t="s">
        <v>9747</v>
      </c>
      <c r="J4045" s="3" t="str">
        <f>HYPERLINK("https://www.boe.es/gazeta/dias/1817/09/06/pdfs/GMD-1817-107.pdf#page=6","Abrir facsímil")</f>
        <v>Abrir facsímil</v>
      </c>
      <c r="K4045" s="3" t="s">
        <v>23</v>
      </c>
    </row>
    <row r="4046" spans="1:11" ht="42" customHeight="1">
      <c r="A4046" s="2" t="s">
        <v>9748</v>
      </c>
      <c r="B4046" s="2" t="s">
        <v>9748</v>
      </c>
      <c r="C4046" s="2" t="s">
        <v>36</v>
      </c>
      <c r="D4046" s="2" t="s">
        <v>37</v>
      </c>
      <c r="E4046" s="5">
        <v>-29990</v>
      </c>
      <c r="F4046" s="3" t="s">
        <v>542</v>
      </c>
      <c r="G4046" s="3" t="s">
        <v>72</v>
      </c>
      <c r="H4046" s="2" t="s">
        <v>21</v>
      </c>
      <c r="I4046" s="2" t="s">
        <v>9749</v>
      </c>
      <c r="J4046" s="3" t="str">
        <f>HYPERLINK("https://www.boe.es/gazeta/dias/1817/11/20/pdfs/GMD-1817-139.pdf#page=1","Abrir facsímil")</f>
        <v>Abrir facsímil</v>
      </c>
      <c r="K4046" s="3" t="s">
        <v>23</v>
      </c>
    </row>
    <row r="4047" spans="1:11" ht="42" customHeight="1">
      <c r="A4047" s="2" t="s">
        <v>9750</v>
      </c>
      <c r="B4047" s="2" t="s">
        <v>9750</v>
      </c>
      <c r="C4047" s="2" t="s">
        <v>36</v>
      </c>
      <c r="D4047" s="2" t="s">
        <v>37</v>
      </c>
      <c r="E4047" s="5">
        <v>-29978</v>
      </c>
      <c r="F4047" s="3" t="s">
        <v>478</v>
      </c>
      <c r="G4047" s="3" t="s">
        <v>72</v>
      </c>
      <c r="H4047" s="2" t="s">
        <v>21</v>
      </c>
      <c r="I4047" s="2" t="s">
        <v>9751</v>
      </c>
      <c r="J4047" s="3" t="str">
        <f>HYPERLINK("https://www.boe.es/gazeta/dias/1817/12/02/pdfs/GMD-1817-144.pdf#page=1","Abrir facsímil")</f>
        <v>Abrir facsímil</v>
      </c>
      <c r="K4047" s="3" t="s">
        <v>23</v>
      </c>
    </row>
    <row r="4048" spans="1:11" ht="42" customHeight="1">
      <c r="A4048" s="2" t="s">
        <v>9752</v>
      </c>
      <c r="B4048" s="2" t="s">
        <v>9752</v>
      </c>
      <c r="C4048" s="2" t="s">
        <v>36</v>
      </c>
      <c r="D4048" s="2" t="s">
        <v>37</v>
      </c>
      <c r="E4048" s="5">
        <v>-29957</v>
      </c>
      <c r="F4048" s="3" t="s">
        <v>1001</v>
      </c>
      <c r="G4048" s="3" t="s">
        <v>72</v>
      </c>
      <c r="H4048" s="2" t="s">
        <v>21</v>
      </c>
      <c r="I4048" s="2" t="s">
        <v>9753</v>
      </c>
      <c r="J4048" s="3" t="str">
        <f>HYPERLINK("https://www.boe.es/gazeta/dias/1817/12/23/pdfs/GMD-1817-153.pdf#page=1","Abrir facsímil")</f>
        <v>Abrir facsímil</v>
      </c>
      <c r="K4048" s="3" t="s">
        <v>23</v>
      </c>
    </row>
    <row r="4049" spans="1:11" ht="42" customHeight="1">
      <c r="A4049" s="2" t="s">
        <v>9754</v>
      </c>
      <c r="B4049" s="2" t="s">
        <v>9755</v>
      </c>
      <c r="C4049" s="2" t="s">
        <v>138</v>
      </c>
      <c r="D4049" s="2" t="s">
        <v>44</v>
      </c>
      <c r="E4049" s="5">
        <v>-30284</v>
      </c>
      <c r="F4049" s="3" t="s">
        <v>741</v>
      </c>
      <c r="G4049" s="3" t="s">
        <v>77</v>
      </c>
      <c r="H4049" s="2" t="s">
        <v>21</v>
      </c>
      <c r="I4049" s="2" t="s">
        <v>9756</v>
      </c>
      <c r="J4049" s="3" t="str">
        <f>HYPERLINK("https://www.boe.es/gazeta/dias/1817/01/30/pdfs/GMD-1817-13.pdf#page=8","Abrir facsímil")</f>
        <v>Abrir facsímil</v>
      </c>
      <c r="K4049" s="3" t="s">
        <v>23</v>
      </c>
    </row>
    <row r="4050" spans="1:11" ht="42" customHeight="1">
      <c r="A4050" s="2" t="s">
        <v>9757</v>
      </c>
      <c r="B4050" s="2" t="s">
        <v>9758</v>
      </c>
      <c r="C4050" s="2" t="s">
        <v>36</v>
      </c>
      <c r="D4050" s="2" t="s">
        <v>37</v>
      </c>
      <c r="E4050" s="5">
        <v>-29976</v>
      </c>
      <c r="F4050" s="3" t="s">
        <v>81</v>
      </c>
      <c r="G4050" s="3" t="s">
        <v>20</v>
      </c>
      <c r="H4050" s="2" t="s">
        <v>21</v>
      </c>
      <c r="I4050" s="2" t="s">
        <v>9759</v>
      </c>
      <c r="J4050" s="3" t="str">
        <f>HYPERLINK("https://www.boe.es/gazeta/dias/1817/12/04/pdfs/GMD-1817-145.pdf#page=7","Abrir facsímil")</f>
        <v>Abrir facsímil</v>
      </c>
      <c r="K4050" s="3" t="s">
        <v>23</v>
      </c>
    </row>
    <row r="4051" spans="1:11" ht="42" customHeight="1">
      <c r="A4051" s="2" t="s">
        <v>9760</v>
      </c>
      <c r="B4051" s="2" t="s">
        <v>9761</v>
      </c>
      <c r="C4051" s="2" t="s">
        <v>49</v>
      </c>
      <c r="D4051" s="2" t="s">
        <v>44</v>
      </c>
      <c r="E4051" s="5">
        <v>-30305</v>
      </c>
      <c r="F4051" s="3" t="s">
        <v>405</v>
      </c>
      <c r="G4051" s="3" t="s">
        <v>77</v>
      </c>
      <c r="H4051" s="2" t="s">
        <v>21</v>
      </c>
      <c r="I4051" s="2" t="s">
        <v>9762</v>
      </c>
      <c r="J4051" s="3" t="str">
        <f>HYPERLINK("https://www.boe.es/gazeta/dias/1817/01/09/pdfs/GMD-1817-4.pdf#page=8","Abrir facsímil")</f>
        <v>Abrir facsímil</v>
      </c>
      <c r="K4051" s="3" t="s">
        <v>23</v>
      </c>
    </row>
    <row r="4052" spans="1:11" ht="42" customHeight="1">
      <c r="A4052" s="2" t="s">
        <v>9763</v>
      </c>
      <c r="B4052" s="2" t="s">
        <v>9764</v>
      </c>
      <c r="C4052" s="2" t="s">
        <v>138</v>
      </c>
      <c r="D4052" s="2" t="s">
        <v>44</v>
      </c>
      <c r="E4052" s="5">
        <v>-29981</v>
      </c>
      <c r="F4052" s="3" t="s">
        <v>111</v>
      </c>
      <c r="G4052" s="3" t="s">
        <v>112</v>
      </c>
      <c r="H4052" s="2" t="s">
        <v>27</v>
      </c>
      <c r="I4052" s="2" t="s">
        <v>9765</v>
      </c>
      <c r="J4052" s="3" t="str">
        <f>HYPERLINK("https://www.boe.es/gazeta/dias/1817/11/29/pdfs/GMD-1817-143.pdf#page=11","Abrir facsímil")</f>
        <v>Abrir facsímil</v>
      </c>
      <c r="K4052" s="3" t="s">
        <v>29</v>
      </c>
    </row>
    <row r="4053" spans="1:11" ht="42" customHeight="1">
      <c r="A4053" s="2" t="s">
        <v>9766</v>
      </c>
      <c r="B4053" s="2" t="s">
        <v>9767</v>
      </c>
      <c r="C4053" s="2" t="s">
        <v>43</v>
      </c>
      <c r="D4053" s="2" t="s">
        <v>44</v>
      </c>
      <c r="E4053" s="5">
        <v>-29962</v>
      </c>
      <c r="F4053" s="3" t="s">
        <v>485</v>
      </c>
      <c r="G4053" s="3" t="s">
        <v>144</v>
      </c>
      <c r="H4053" s="2" t="s">
        <v>21</v>
      </c>
      <c r="I4053" s="2" t="s">
        <v>9768</v>
      </c>
      <c r="J4053" s="3" t="str">
        <f>HYPERLINK("https://www.boe.es/gazeta/dias/1817/12/18/pdfs/GMD-1817-151.pdf#page=4","Abrir facsímil")</f>
        <v>Abrir facsímil</v>
      </c>
      <c r="K4053" s="3" t="s">
        <v>23</v>
      </c>
    </row>
    <row r="4054" spans="1:11" ht="42" customHeight="1">
      <c r="A4054" s="2" t="s">
        <v>9769</v>
      </c>
      <c r="B4054" s="2" t="s">
        <v>9770</v>
      </c>
      <c r="C4054" s="2" t="s">
        <v>17</v>
      </c>
      <c r="D4054" s="2" t="s">
        <v>18</v>
      </c>
      <c r="E4054" s="5">
        <v>-30265</v>
      </c>
      <c r="F4054" s="3" t="s">
        <v>107</v>
      </c>
      <c r="G4054" s="3" t="s">
        <v>4980</v>
      </c>
      <c r="H4054" s="2" t="s">
        <v>21</v>
      </c>
      <c r="I4054" s="2" t="s">
        <v>9771</v>
      </c>
      <c r="J4054" s="3" t="str">
        <f>HYPERLINK("https://www.boe.es/gazeta/dias/1817/02/18/pdfs/GMD-1817-21.pdf#page=4","Abrir facsímil")</f>
        <v>Abrir facsímil</v>
      </c>
      <c r="K4054" s="3" t="s">
        <v>23</v>
      </c>
    </row>
    <row r="4055" spans="1:11" ht="42" customHeight="1">
      <c r="A4055" s="2" t="s">
        <v>9772</v>
      </c>
      <c r="B4055" s="2" t="s">
        <v>9773</v>
      </c>
      <c r="C4055" s="2" t="s">
        <v>43</v>
      </c>
      <c r="D4055" s="2" t="s">
        <v>44</v>
      </c>
      <c r="E4055" s="5">
        <v>-30079</v>
      </c>
      <c r="F4055" s="3" t="s">
        <v>45</v>
      </c>
      <c r="G4055" s="3" t="s">
        <v>39</v>
      </c>
      <c r="H4055" s="2" t="s">
        <v>21</v>
      </c>
      <c r="I4055" s="2" t="s">
        <v>9774</v>
      </c>
      <c r="J4055" s="3" t="str">
        <f>HYPERLINK("https://www.boe.es/gazeta/dias/1817/08/23/pdfs/GMD-1817-101.pdf#page=5","Abrir facsímil")</f>
        <v>Abrir facsímil</v>
      </c>
      <c r="K4055" s="3" t="s">
        <v>23</v>
      </c>
    </row>
    <row r="4056" spans="1:11" ht="42" customHeight="1">
      <c r="A4056" s="2" t="s">
        <v>9775</v>
      </c>
      <c r="B4056" s="2" t="s">
        <v>9776</v>
      </c>
      <c r="C4056" s="2" t="s">
        <v>17</v>
      </c>
      <c r="D4056" s="2" t="s">
        <v>18</v>
      </c>
      <c r="E4056" s="5">
        <v>-30186</v>
      </c>
      <c r="F4056" s="3" t="s">
        <v>2003</v>
      </c>
      <c r="G4056" s="3" t="s">
        <v>2886</v>
      </c>
      <c r="H4056" s="2" t="s">
        <v>21</v>
      </c>
      <c r="I4056" s="2" t="s">
        <v>9777</v>
      </c>
      <c r="J4056" s="3" t="str">
        <f>HYPERLINK("https://www.boe.es/gazeta/dias/1817/05/08/pdfs/GMD-1817-55.pdf#page=6","Abrir facsímil")</f>
        <v>Abrir facsímil</v>
      </c>
      <c r="K4056" s="3" t="s">
        <v>23</v>
      </c>
    </row>
    <row r="4057" spans="1:11" ht="42" customHeight="1">
      <c r="A4057" s="2" t="s">
        <v>9778</v>
      </c>
      <c r="B4057" s="2" t="s">
        <v>9778</v>
      </c>
      <c r="C4057" s="2" t="s">
        <v>138</v>
      </c>
      <c r="D4057" s="2" t="s">
        <v>44</v>
      </c>
      <c r="E4057" s="5">
        <v>-29990</v>
      </c>
      <c r="F4057" s="3" t="s">
        <v>542</v>
      </c>
      <c r="G4057" s="3" t="s">
        <v>551</v>
      </c>
      <c r="H4057" s="2" t="s">
        <v>21</v>
      </c>
      <c r="I4057" s="2" t="s">
        <v>9779</v>
      </c>
      <c r="J4057" s="3" t="str">
        <f>HYPERLINK("https://www.boe.es/gazeta/dias/1817/11/20/pdfs/GMD-1817-139.pdf#page=3","Abrir facsímil")</f>
        <v>Abrir facsímil</v>
      </c>
      <c r="K4057" s="3" t="s">
        <v>23</v>
      </c>
    </row>
    <row r="4058" spans="1:11" ht="42" customHeight="1">
      <c r="A4058" s="2" t="s">
        <v>9780</v>
      </c>
      <c r="B4058" s="2" t="s">
        <v>9781</v>
      </c>
      <c r="C4058" s="2" t="s">
        <v>17</v>
      </c>
      <c r="D4058" s="2" t="s">
        <v>18</v>
      </c>
      <c r="E4058" s="5">
        <v>-30065</v>
      </c>
      <c r="F4058" s="3" t="s">
        <v>201</v>
      </c>
      <c r="G4058" s="3" t="s">
        <v>57</v>
      </c>
      <c r="H4058" s="2" t="s">
        <v>21</v>
      </c>
      <c r="I4058" s="2" t="s">
        <v>9782</v>
      </c>
      <c r="J4058" s="3" t="str">
        <f>HYPERLINK("https://www.boe.es/gazeta/dias/1817/09/06/pdfs/GMD-1817-107.pdf#page=6","Abrir facsímil")</f>
        <v>Abrir facsímil</v>
      </c>
      <c r="K4058" s="3" t="s">
        <v>23</v>
      </c>
    </row>
    <row r="4059" spans="1:11" ht="42" customHeight="1">
      <c r="A4059" s="2" t="s">
        <v>9783</v>
      </c>
      <c r="B4059" s="2" t="s">
        <v>9784</v>
      </c>
      <c r="C4059" s="2" t="s">
        <v>17</v>
      </c>
      <c r="D4059" s="2" t="s">
        <v>18</v>
      </c>
      <c r="E4059" s="5">
        <v>-30065</v>
      </c>
      <c r="F4059" s="3" t="s">
        <v>201</v>
      </c>
      <c r="G4059" s="3" t="s">
        <v>57</v>
      </c>
      <c r="H4059" s="2" t="s">
        <v>21</v>
      </c>
      <c r="I4059" s="2" t="s">
        <v>9785</v>
      </c>
      <c r="J4059" s="3" t="str">
        <f>HYPERLINK("https://www.boe.es/gazeta/dias/1817/09/06/pdfs/GMD-1817-107.pdf#page=6","Abrir facsímil")</f>
        <v>Abrir facsímil</v>
      </c>
      <c r="K4059" s="3" t="s">
        <v>23</v>
      </c>
    </row>
    <row r="4060" spans="1:11" ht="42" customHeight="1">
      <c r="A4060" s="2" t="s">
        <v>9786</v>
      </c>
      <c r="B4060" s="2" t="s">
        <v>9787</v>
      </c>
      <c r="C4060" s="2" t="s">
        <v>43</v>
      </c>
      <c r="D4060" s="2" t="s">
        <v>44</v>
      </c>
      <c r="E4060" s="5">
        <v>-30177</v>
      </c>
      <c r="F4060" s="3" t="s">
        <v>633</v>
      </c>
      <c r="G4060" s="3" t="s">
        <v>57</v>
      </c>
      <c r="H4060" s="2" t="s">
        <v>21</v>
      </c>
      <c r="I4060" s="2" t="s">
        <v>9788</v>
      </c>
      <c r="J4060" s="3" t="str">
        <f>HYPERLINK("https://www.boe.es/gazeta/dias/1817/05/17/pdfs/GMD-1817-59.pdf#page=6","Abrir facsímil")</f>
        <v>Abrir facsímil</v>
      </c>
      <c r="K4060" s="3" t="s">
        <v>23</v>
      </c>
    </row>
    <row r="4061" spans="1:11" ht="42" customHeight="1">
      <c r="A4061" s="2" t="s">
        <v>9789</v>
      </c>
      <c r="B4061" s="2" t="s">
        <v>9790</v>
      </c>
      <c r="C4061" s="2" t="s">
        <v>43</v>
      </c>
      <c r="D4061" s="2" t="s">
        <v>44</v>
      </c>
      <c r="E4061" s="5">
        <v>-30191</v>
      </c>
      <c r="F4061" s="3" t="s">
        <v>420</v>
      </c>
      <c r="G4061" s="3" t="s">
        <v>20</v>
      </c>
      <c r="H4061" s="2" t="s">
        <v>21</v>
      </c>
      <c r="I4061" s="2" t="s">
        <v>9791</v>
      </c>
      <c r="J4061" s="3" t="str">
        <f>HYPERLINK("https://www.boe.es/gazeta/dias/1817/05/03/pdfs/GMD-1817-53.pdf#page=7","Abrir facsímil")</f>
        <v>Abrir facsímil</v>
      </c>
      <c r="K4061" s="3" t="s">
        <v>23</v>
      </c>
    </row>
    <row r="4062" spans="1:11" ht="42" customHeight="1">
      <c r="A4062" s="2" t="s">
        <v>9792</v>
      </c>
      <c r="B4062" s="2" t="s">
        <v>9793</v>
      </c>
      <c r="C4062" s="2" t="s">
        <v>36</v>
      </c>
      <c r="D4062" s="2" t="s">
        <v>37</v>
      </c>
      <c r="E4062" s="5">
        <v>-30065</v>
      </c>
      <c r="F4062" s="3" t="s">
        <v>201</v>
      </c>
      <c r="G4062" s="3" t="s">
        <v>20</v>
      </c>
      <c r="H4062" s="2" t="s">
        <v>21</v>
      </c>
      <c r="I4062" s="2" t="s">
        <v>9794</v>
      </c>
      <c r="J4062" s="3" t="str">
        <f>HYPERLINK("https://www.boe.es/gazeta/dias/1817/09/06/pdfs/GMD-1817-107.pdf#page=7","Abrir facsímil")</f>
        <v>Abrir facsímil</v>
      </c>
      <c r="K4062" s="3" t="s">
        <v>23</v>
      </c>
    </row>
    <row r="4063" spans="1:11" ht="42" customHeight="1">
      <c r="A4063" s="2" t="s">
        <v>9795</v>
      </c>
      <c r="B4063" s="2" t="s">
        <v>9796</v>
      </c>
      <c r="C4063" s="2" t="s">
        <v>97</v>
      </c>
      <c r="D4063" s="2" t="s">
        <v>44</v>
      </c>
      <c r="E4063" s="5">
        <v>-30055</v>
      </c>
      <c r="F4063" s="3" t="s">
        <v>71</v>
      </c>
      <c r="G4063" s="3" t="s">
        <v>82</v>
      </c>
      <c r="H4063" s="2" t="s">
        <v>21</v>
      </c>
      <c r="I4063" s="2" t="s">
        <v>9797</v>
      </c>
      <c r="J4063" s="3" t="str">
        <f>HYPERLINK("https://www.boe.es/gazeta/dias/1817/09/16/pdfs/GMD-1817-111.pdf#page=12","Abrir facsímil")</f>
        <v>Abrir facsímil</v>
      </c>
      <c r="K4063" s="3" t="s">
        <v>23</v>
      </c>
    </row>
    <row r="4064" spans="1:11" ht="42" customHeight="1">
      <c r="A4064" s="2" t="s">
        <v>9798</v>
      </c>
      <c r="B4064" s="2" t="s">
        <v>9799</v>
      </c>
      <c r="C4064" s="2" t="s">
        <v>43</v>
      </c>
      <c r="D4064" s="2" t="s">
        <v>44</v>
      </c>
      <c r="E4064" s="5">
        <v>-30244</v>
      </c>
      <c r="F4064" s="3" t="s">
        <v>1482</v>
      </c>
      <c r="G4064" s="3" t="s">
        <v>1483</v>
      </c>
      <c r="H4064" s="2" t="s">
        <v>21</v>
      </c>
      <c r="I4064" s="2" t="s">
        <v>9800</v>
      </c>
      <c r="J4064" s="3" t="str">
        <f>HYPERLINK("https://www.boe.es/gazeta/dias/1817/03/11/pdfs/GMD-1817-30.pdf#page=7","Abrir facsímil")</f>
        <v>Abrir facsímil</v>
      </c>
      <c r="K4064" s="3" t="s">
        <v>23</v>
      </c>
    </row>
    <row r="4065" spans="1:11" ht="42" customHeight="1">
      <c r="A4065" s="2" t="s">
        <v>9801</v>
      </c>
      <c r="B4065" s="2" t="s">
        <v>9801</v>
      </c>
      <c r="C4065" s="2" t="s">
        <v>36</v>
      </c>
      <c r="D4065" s="2" t="s">
        <v>37</v>
      </c>
      <c r="E4065" s="5">
        <v>-29981</v>
      </c>
      <c r="F4065" s="3" t="s">
        <v>111</v>
      </c>
      <c r="G4065" s="3" t="s">
        <v>20</v>
      </c>
      <c r="H4065" s="2" t="s">
        <v>21</v>
      </c>
      <c r="I4065" s="2" t="s">
        <v>9802</v>
      </c>
      <c r="J4065" s="3" t="str">
        <f>HYPERLINK("https://www.boe.es/gazeta/dias/1817/11/29/pdfs/GMD-1817-143.pdf#page=7","Abrir facsímil")</f>
        <v>Abrir facsímil</v>
      </c>
      <c r="K4065" s="3" t="s">
        <v>23</v>
      </c>
    </row>
    <row r="4066" spans="1:11" ht="42" customHeight="1"/>
    <row r="4067" spans="1:11" ht="42" customHeight="1"/>
    <row r="4068" spans="1:11" ht="42" customHeight="1"/>
    <row r="4069" spans="1:11" ht="42" customHeight="1"/>
    <row r="4070" spans="1:11" ht="42" customHeight="1"/>
    <row r="4071" spans="1:11" ht="42" customHeight="1"/>
    <row r="4072" spans="1:11" ht="42" customHeight="1"/>
    <row r="4073" spans="1:11" ht="42" customHeight="1"/>
    <row r="4074" spans="1:11" ht="42" customHeight="1"/>
    <row r="4075" spans="1:11" ht="42" customHeight="1"/>
    <row r="4076" spans="1:11" ht="42" customHeight="1"/>
    <row r="4077" spans="1:11" ht="42" customHeight="1"/>
    <row r="4078" spans="1:11" ht="42" customHeight="1"/>
    <row r="4079" spans="1:11" ht="42" customHeight="1"/>
    <row r="4080" spans="1:11"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4065">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9803</v>
      </c>
      <c r="B1" s="8"/>
      <c r="C1" s="8"/>
      <c r="D1" s="8"/>
      <c r="E1" s="8"/>
      <c r="F1" s="8"/>
    </row>
    <row r="2" spans="1:6" ht="22.05" customHeight="1">
      <c r="A2" s="12" t="s">
        <v>9804</v>
      </c>
      <c r="B2" s="12"/>
      <c r="C2" s="12"/>
      <c r="D2" s="12"/>
      <c r="E2" s="12"/>
      <c r="F2" s="12"/>
    </row>
    <row r="4" spans="1:6" ht="30" customHeight="1">
      <c r="A4" s="1" t="s">
        <v>8</v>
      </c>
      <c r="B4" s="1" t="s">
        <v>9</v>
      </c>
      <c r="C4" s="1" t="s">
        <v>9805</v>
      </c>
      <c r="D4" s="1" t="s">
        <v>9806</v>
      </c>
      <c r="E4" s="1" t="s">
        <v>9807</v>
      </c>
      <c r="F4" s="1" t="s">
        <v>9808</v>
      </c>
    </row>
    <row r="5" spans="1:6" ht="31.05" customHeight="1">
      <c r="A5" s="6">
        <v>-30312</v>
      </c>
      <c r="B5" s="2" t="s">
        <v>86</v>
      </c>
      <c r="C5" s="2" t="s">
        <v>9809</v>
      </c>
      <c r="D5" s="3">
        <v>8</v>
      </c>
      <c r="E5" s="3">
        <v>27</v>
      </c>
      <c r="F5" s="3" t="str">
        <f>HYPERLINK("https://www.boe.es/gazeta/dias/1817/01/02/pdfs/GMD-1817-1.pdf","Abrir PDF")</f>
        <v>Abrir PDF</v>
      </c>
    </row>
    <row r="6" spans="1:6" ht="31.05" customHeight="1">
      <c r="A6" s="6">
        <v>-30310</v>
      </c>
      <c r="B6" s="2" t="s">
        <v>93</v>
      </c>
      <c r="C6" s="2" t="s">
        <v>9810</v>
      </c>
      <c r="D6" s="3">
        <v>8</v>
      </c>
      <c r="E6" s="3">
        <v>29</v>
      </c>
      <c r="F6" s="3" t="str">
        <f>HYPERLINK("https://www.boe.es/gazeta/dias/1817/01/04/pdfs/GMD-1817-2.pdf","Abrir PDF")</f>
        <v>Abrir PDF</v>
      </c>
    </row>
    <row r="7" spans="1:6" ht="31.05" customHeight="1">
      <c r="A7" s="6">
        <v>-30307</v>
      </c>
      <c r="B7" s="2" t="s">
        <v>67</v>
      </c>
      <c r="C7" s="2" t="s">
        <v>9811</v>
      </c>
      <c r="D7" s="3">
        <v>8</v>
      </c>
      <c r="E7" s="3">
        <v>65</v>
      </c>
      <c r="F7" s="3" t="str">
        <f>HYPERLINK("https://www.boe.es/gazeta/dias/1817/01/07/pdfs/GMD-1817-3.pdf","Abrir PDF")</f>
        <v>Abrir PDF</v>
      </c>
    </row>
    <row r="8" spans="1:6" ht="31.05" customHeight="1">
      <c r="A8" s="6">
        <v>-30305</v>
      </c>
      <c r="B8" s="2" t="s">
        <v>405</v>
      </c>
      <c r="C8" s="2" t="s">
        <v>9812</v>
      </c>
      <c r="D8" s="3">
        <v>8</v>
      </c>
      <c r="E8" s="3">
        <v>24</v>
      </c>
      <c r="F8" s="3" t="str">
        <f>HYPERLINK("https://www.boe.es/gazeta/dias/1817/01/09/pdfs/GMD-1817-4.pdf","Abrir PDF")</f>
        <v>Abrir PDF</v>
      </c>
    </row>
    <row r="9" spans="1:6" ht="31.05" customHeight="1">
      <c r="A9" s="6">
        <v>-30303</v>
      </c>
      <c r="B9" s="2" t="s">
        <v>407</v>
      </c>
      <c r="C9" s="2" t="s">
        <v>9813</v>
      </c>
      <c r="D9" s="3">
        <v>8</v>
      </c>
      <c r="E9" s="3">
        <v>41</v>
      </c>
      <c r="F9" s="3" t="str">
        <f>HYPERLINK("https://www.boe.es/gazeta/dias/1817/01/11/pdfs/GMD-1817-5.pdf","Abrir PDF")</f>
        <v>Abrir PDF</v>
      </c>
    </row>
    <row r="10" spans="1:6" ht="31.05" customHeight="1">
      <c r="A10" s="6">
        <v>-30300</v>
      </c>
      <c r="B10" s="2" t="s">
        <v>164</v>
      </c>
      <c r="C10" s="2" t="s">
        <v>9814</v>
      </c>
      <c r="D10" s="3">
        <v>8</v>
      </c>
      <c r="E10" s="3">
        <v>26</v>
      </c>
      <c r="F10" s="3" t="str">
        <f>HYPERLINK("https://www.boe.es/gazeta/dias/1817/01/14/pdfs/GMD-1817-6.pdf","Abrir PDF")</f>
        <v>Abrir PDF</v>
      </c>
    </row>
    <row r="11" spans="1:6" ht="31.05" customHeight="1">
      <c r="A11" s="6">
        <v>-30298</v>
      </c>
      <c r="B11" s="2" t="s">
        <v>489</v>
      </c>
      <c r="C11" s="2" t="s">
        <v>9815</v>
      </c>
      <c r="D11" s="3">
        <v>8</v>
      </c>
      <c r="E11" s="3">
        <v>25</v>
      </c>
      <c r="F11" s="3" t="str">
        <f>HYPERLINK("https://www.boe.es/gazeta/dias/1817/01/16/pdfs/GMD-1817-7.pdf","Abrir PDF")</f>
        <v>Abrir PDF</v>
      </c>
    </row>
    <row r="12" spans="1:6" ht="31.05" customHeight="1">
      <c r="A12" s="6">
        <v>-30296</v>
      </c>
      <c r="B12" s="2" t="s">
        <v>357</v>
      </c>
      <c r="C12" s="2" t="s">
        <v>9816</v>
      </c>
      <c r="D12" s="3">
        <v>12</v>
      </c>
      <c r="E12" s="3">
        <v>28</v>
      </c>
      <c r="F12" s="3" t="str">
        <f>HYPERLINK("https://www.boe.es/gazeta/dias/1817/01/18/pdfs/GMD-1817-8.pdf","Abrir PDF")</f>
        <v>Abrir PDF</v>
      </c>
    </row>
    <row r="13" spans="1:6" ht="31.05" customHeight="1">
      <c r="A13" s="6">
        <v>-30293</v>
      </c>
      <c r="B13" s="2" t="s">
        <v>143</v>
      </c>
      <c r="C13" s="2" t="s">
        <v>9817</v>
      </c>
      <c r="D13" s="3">
        <v>8</v>
      </c>
      <c r="E13" s="3">
        <v>23</v>
      </c>
      <c r="F13" s="3" t="str">
        <f>HYPERLINK("https://www.boe.es/gazeta/dias/1817/01/21/pdfs/GMD-1817-9.pdf","Abrir PDF")</f>
        <v>Abrir PDF</v>
      </c>
    </row>
    <row r="14" spans="1:6" ht="31.05" customHeight="1">
      <c r="A14" s="6">
        <v>-30291</v>
      </c>
      <c r="B14" s="2" t="s">
        <v>1041</v>
      </c>
      <c r="C14" s="2" t="s">
        <v>9818</v>
      </c>
      <c r="D14" s="3">
        <v>8</v>
      </c>
      <c r="E14" s="3">
        <v>18</v>
      </c>
      <c r="F14" s="3" t="str">
        <f>HYPERLINK("https://www.boe.es/gazeta/dias/1817/01/23/pdfs/GMD-1817-10.pdf","Abrir PDF")</f>
        <v>Abrir PDF</v>
      </c>
    </row>
    <row r="15" spans="1:6" ht="31.05" customHeight="1">
      <c r="A15" s="6">
        <v>-30289</v>
      </c>
      <c r="B15" s="2" t="s">
        <v>193</v>
      </c>
      <c r="C15" s="2" t="s">
        <v>9819</v>
      </c>
      <c r="D15" s="3">
        <v>8</v>
      </c>
      <c r="E15" s="3">
        <v>30</v>
      </c>
      <c r="F15" s="3" t="str">
        <f>HYPERLINK("https://www.boe.es/gazeta/dias/1817/01/25/pdfs/GMD-1817-11.pdf","Abrir PDF")</f>
        <v>Abrir PDF</v>
      </c>
    </row>
    <row r="16" spans="1:6" ht="31.05" customHeight="1">
      <c r="A16" s="6">
        <v>-30286</v>
      </c>
      <c r="B16" s="2" t="s">
        <v>354</v>
      </c>
      <c r="C16" s="2" t="s">
        <v>9820</v>
      </c>
      <c r="D16" s="3">
        <v>8</v>
      </c>
      <c r="E16" s="3">
        <v>47</v>
      </c>
      <c r="F16" s="3" t="str">
        <f>HYPERLINK("https://www.boe.es/gazeta/dias/1817/01/28/pdfs/GMD-1817-12.pdf","Abrir PDF")</f>
        <v>Abrir PDF</v>
      </c>
    </row>
    <row r="17" spans="1:6" ht="31.05" customHeight="1">
      <c r="A17" s="6">
        <v>-30284</v>
      </c>
      <c r="B17" s="2" t="s">
        <v>741</v>
      </c>
      <c r="C17" s="2" t="s">
        <v>9821</v>
      </c>
      <c r="D17" s="3">
        <v>8</v>
      </c>
      <c r="E17" s="3">
        <v>37</v>
      </c>
      <c r="F17" s="3" t="str">
        <f>HYPERLINK("https://www.boe.es/gazeta/dias/1817/01/30/pdfs/GMD-1817-13.pdf","Abrir PDF")</f>
        <v>Abrir PDF</v>
      </c>
    </row>
    <row r="18" spans="1:6" ht="31.05" customHeight="1">
      <c r="A18" s="6">
        <v>-30282</v>
      </c>
      <c r="B18" s="2" t="s">
        <v>1049</v>
      </c>
      <c r="C18" s="2" t="s">
        <v>9822</v>
      </c>
      <c r="D18" s="3">
        <v>8</v>
      </c>
      <c r="E18" s="3">
        <v>24</v>
      </c>
      <c r="F18" s="3" t="str">
        <f>HYPERLINK("https://www.boe.es/gazeta/dias/1817/02/01/pdfs/GMD-1817-14.pdf","Abrir PDF")</f>
        <v>Abrir PDF</v>
      </c>
    </row>
    <row r="19" spans="1:6" ht="31.05" customHeight="1">
      <c r="A19" s="6">
        <v>-30279</v>
      </c>
      <c r="B19" s="2" t="s">
        <v>1113</v>
      </c>
      <c r="C19" s="2" t="s">
        <v>9823</v>
      </c>
      <c r="D19" s="3">
        <v>8</v>
      </c>
      <c r="E19" s="3">
        <v>18</v>
      </c>
      <c r="F19" s="3" t="str">
        <f>HYPERLINK("https://www.boe.es/gazeta/dias/1817/02/04/pdfs/GMD-1817-15.pdf","Abrir PDF")</f>
        <v>Abrir PDF</v>
      </c>
    </row>
    <row r="20" spans="1:6" ht="31.05" customHeight="1">
      <c r="A20" s="6">
        <v>-30277</v>
      </c>
      <c r="B20" s="2" t="s">
        <v>3822</v>
      </c>
      <c r="C20" s="2" t="s">
        <v>9824</v>
      </c>
      <c r="D20" s="3">
        <v>8</v>
      </c>
      <c r="E20" s="3">
        <v>22</v>
      </c>
      <c r="F20" s="3" t="str">
        <f>HYPERLINK("https://www.boe.es/gazeta/dias/1817/02/06/pdfs/GMD-1817-16.pdf","Abrir PDF")</f>
        <v>Abrir PDF</v>
      </c>
    </row>
    <row r="21" spans="1:6" ht="31.05" customHeight="1">
      <c r="A21" s="6">
        <v>-30275</v>
      </c>
      <c r="B21" s="2" t="s">
        <v>1025</v>
      </c>
      <c r="C21" s="2" t="s">
        <v>9825</v>
      </c>
      <c r="D21" s="3">
        <v>8</v>
      </c>
      <c r="E21" s="3">
        <v>14</v>
      </c>
      <c r="F21" s="3" t="str">
        <f>HYPERLINK("https://www.boe.es/gazeta/dias/1817/02/08/pdfs/GMD-1817-17.pdf","Abrir PDF")</f>
        <v>Abrir PDF</v>
      </c>
    </row>
    <row r="22" spans="1:6" ht="31.05" customHeight="1">
      <c r="A22" s="6">
        <v>-30272</v>
      </c>
      <c r="B22" s="2" t="s">
        <v>493</v>
      </c>
      <c r="C22" s="2" t="s">
        <v>9826</v>
      </c>
      <c r="D22" s="3">
        <v>8</v>
      </c>
      <c r="E22" s="3">
        <v>30</v>
      </c>
      <c r="F22" s="3" t="str">
        <f>HYPERLINK("https://www.boe.es/gazeta/dias/1817/02/11/pdfs/GMD-1817-18.pdf","Abrir PDF")</f>
        <v>Abrir PDF</v>
      </c>
    </row>
    <row r="23" spans="1:6" ht="31.05" customHeight="1">
      <c r="A23" s="6">
        <v>-30270</v>
      </c>
      <c r="B23" s="2" t="s">
        <v>341</v>
      </c>
      <c r="C23" s="2" t="s">
        <v>9827</v>
      </c>
      <c r="D23" s="3">
        <v>8</v>
      </c>
      <c r="E23" s="3">
        <v>14</v>
      </c>
      <c r="F23" s="3" t="str">
        <f>HYPERLINK("https://www.boe.es/gazeta/dias/1817/02/13/pdfs/GMD-1817-19.pdf","Abrir PDF")</f>
        <v>Abrir PDF</v>
      </c>
    </row>
    <row r="24" spans="1:6" ht="31.05" customHeight="1">
      <c r="A24" s="6">
        <v>-30268</v>
      </c>
      <c r="B24" s="2" t="s">
        <v>1160</v>
      </c>
      <c r="C24" s="2" t="s">
        <v>9828</v>
      </c>
      <c r="D24" s="3">
        <v>8</v>
      </c>
      <c r="E24" s="3">
        <v>24</v>
      </c>
      <c r="F24" s="3" t="str">
        <f>HYPERLINK("https://www.boe.es/gazeta/dias/1817/02/15/pdfs/GMD-1817-20.pdf","Abrir PDF")</f>
        <v>Abrir PDF</v>
      </c>
    </row>
    <row r="25" spans="1:6" ht="31.05" customHeight="1">
      <c r="A25" s="6">
        <v>-30265</v>
      </c>
      <c r="B25" s="2" t="s">
        <v>107</v>
      </c>
      <c r="C25" s="2" t="s">
        <v>9829</v>
      </c>
      <c r="D25" s="3">
        <v>8</v>
      </c>
      <c r="E25" s="3">
        <v>38</v>
      </c>
      <c r="F25" s="3" t="str">
        <f>HYPERLINK("https://www.boe.es/gazeta/dias/1817/02/18/pdfs/GMD-1817-21.pdf","Abrir PDF")</f>
        <v>Abrir PDF</v>
      </c>
    </row>
    <row r="26" spans="1:6" ht="31.05" customHeight="1">
      <c r="A26" s="6">
        <v>-30263</v>
      </c>
      <c r="B26" s="2" t="s">
        <v>1794</v>
      </c>
      <c r="C26" s="2" t="s">
        <v>9830</v>
      </c>
      <c r="D26" s="3">
        <v>8</v>
      </c>
      <c r="E26" s="3">
        <v>12</v>
      </c>
      <c r="F26" s="3" t="str">
        <f>HYPERLINK("https://www.boe.es/gazeta/dias/1817/02/20/pdfs/GMD-1817-22.pdf","Abrir PDF")</f>
        <v>Abrir PDF</v>
      </c>
    </row>
    <row r="27" spans="1:6" ht="31.05" customHeight="1">
      <c r="A27" s="6">
        <v>-30261</v>
      </c>
      <c r="B27" s="2" t="s">
        <v>226</v>
      </c>
      <c r="C27" s="2" t="s">
        <v>9831</v>
      </c>
      <c r="D27" s="3">
        <v>8</v>
      </c>
      <c r="E27" s="3">
        <v>61</v>
      </c>
      <c r="F27" s="3" t="str">
        <f>HYPERLINK("https://www.boe.es/gazeta/dias/1817/02/22/pdfs/GMD-1817-23.pdf","Abrir PDF")</f>
        <v>Abrir PDF</v>
      </c>
    </row>
    <row r="28" spans="1:6" ht="31.05" customHeight="1">
      <c r="A28" s="6">
        <v>-30258</v>
      </c>
      <c r="B28" s="2" t="s">
        <v>234</v>
      </c>
      <c r="C28" s="2" t="s">
        <v>9832</v>
      </c>
      <c r="D28" s="3">
        <v>8</v>
      </c>
      <c r="E28" s="3">
        <v>15</v>
      </c>
      <c r="F28" s="3" t="str">
        <f>HYPERLINK("https://www.boe.es/gazeta/dias/1817/02/25/pdfs/GMD-1817-24.pdf","Abrir PDF")</f>
        <v>Abrir PDF</v>
      </c>
    </row>
    <row r="29" spans="1:6" ht="31.05" customHeight="1">
      <c r="A29" s="6">
        <v>-30256</v>
      </c>
      <c r="B29" s="2" t="s">
        <v>302</v>
      </c>
      <c r="C29" s="2" t="s">
        <v>9833</v>
      </c>
      <c r="D29" s="3">
        <v>8</v>
      </c>
      <c r="E29" s="3">
        <v>12</v>
      </c>
      <c r="F29" s="3" t="str">
        <f>HYPERLINK("https://www.boe.es/gazeta/dias/1817/02/27/pdfs/GMD-1817-25.pdf","Abrir PDF")</f>
        <v>Abrir PDF</v>
      </c>
    </row>
    <row r="30" spans="1:6" ht="31.05" customHeight="1">
      <c r="A30" s="6">
        <v>-30254</v>
      </c>
      <c r="B30" s="2" t="s">
        <v>124</v>
      </c>
      <c r="C30" s="2" t="s">
        <v>9834</v>
      </c>
      <c r="D30" s="3">
        <v>8</v>
      </c>
      <c r="E30" s="3">
        <v>31</v>
      </c>
      <c r="F30" s="3" t="str">
        <f>HYPERLINK("https://www.boe.es/gazeta/dias/1817/03/01/pdfs/GMD-1817-26.pdf","Abrir PDF")</f>
        <v>Abrir PDF</v>
      </c>
    </row>
    <row r="31" spans="1:6" ht="31.05" customHeight="1">
      <c r="A31" s="6">
        <v>-30251</v>
      </c>
      <c r="B31" s="2" t="s">
        <v>2096</v>
      </c>
      <c r="C31" s="2" t="s">
        <v>9835</v>
      </c>
      <c r="D31" s="3">
        <v>8</v>
      </c>
      <c r="E31" s="3">
        <v>16</v>
      </c>
      <c r="F31" s="3" t="str">
        <f>HYPERLINK("https://www.boe.es/gazeta/dias/1817/03/04/pdfs/GMD-1817-27.pdf","Abrir PDF")</f>
        <v>Abrir PDF</v>
      </c>
    </row>
    <row r="32" spans="1:6" ht="31.05" customHeight="1">
      <c r="A32" s="6">
        <v>-30249</v>
      </c>
      <c r="B32" s="2" t="s">
        <v>120</v>
      </c>
      <c r="C32" s="2" t="s">
        <v>9836</v>
      </c>
      <c r="D32" s="3">
        <v>8</v>
      </c>
      <c r="E32" s="3">
        <v>24</v>
      </c>
      <c r="F32" s="3" t="str">
        <f>HYPERLINK("https://www.boe.es/gazeta/dias/1817/03/06/pdfs/GMD-1817-28.pdf","Abrir PDF")</f>
        <v>Abrir PDF</v>
      </c>
    </row>
    <row r="33" spans="1:6" ht="31.05" customHeight="1">
      <c r="A33" s="6">
        <v>-30247</v>
      </c>
      <c r="B33" s="2" t="s">
        <v>1796</v>
      </c>
      <c r="C33" s="2" t="s">
        <v>9837</v>
      </c>
      <c r="D33" s="3">
        <v>8</v>
      </c>
      <c r="E33" s="3">
        <v>11</v>
      </c>
      <c r="F33" s="3" t="str">
        <f>HYPERLINK("https://www.boe.es/gazeta/dias/1817/03/08/pdfs/GMD-1817-29.pdf","Abrir PDF")</f>
        <v>Abrir PDF</v>
      </c>
    </row>
    <row r="34" spans="1:6" ht="31.05" customHeight="1">
      <c r="A34" s="6">
        <v>-30244</v>
      </c>
      <c r="B34" s="2" t="s">
        <v>1482</v>
      </c>
      <c r="C34" s="2" t="s">
        <v>9838</v>
      </c>
      <c r="D34" s="3">
        <v>8</v>
      </c>
      <c r="E34" s="3">
        <v>13</v>
      </c>
      <c r="F34" s="3" t="str">
        <f>HYPERLINK("https://www.boe.es/gazeta/dias/1817/03/11/pdfs/GMD-1817-30.pdf","Abrir PDF")</f>
        <v>Abrir PDF</v>
      </c>
    </row>
    <row r="35" spans="1:6" ht="31.05" customHeight="1">
      <c r="A35" s="6">
        <v>-30242</v>
      </c>
      <c r="B35" s="2" t="s">
        <v>62</v>
      </c>
      <c r="C35" s="2" t="s">
        <v>9839</v>
      </c>
      <c r="D35" s="3">
        <v>8</v>
      </c>
      <c r="E35" s="3">
        <v>21</v>
      </c>
      <c r="F35" s="3" t="str">
        <f>HYPERLINK("https://www.boe.es/gazeta/dias/1817/03/13/pdfs/GMD-1817-31.pdf","Abrir PDF")</f>
        <v>Abrir PDF</v>
      </c>
    </row>
    <row r="36" spans="1:6" ht="31.05" customHeight="1">
      <c r="A36" s="6">
        <v>-30240</v>
      </c>
      <c r="B36" s="2" t="s">
        <v>347</v>
      </c>
      <c r="C36" s="2" t="s">
        <v>9840</v>
      </c>
      <c r="D36" s="3">
        <v>8</v>
      </c>
      <c r="E36" s="3">
        <v>17</v>
      </c>
      <c r="F36" s="3" t="str">
        <f>HYPERLINK("https://www.boe.es/gazeta/dias/1817/03/15/pdfs/GMD-1817-32.pdf","Abrir PDF")</f>
        <v>Abrir PDF</v>
      </c>
    </row>
    <row r="37" spans="1:6" ht="31.05" customHeight="1">
      <c r="A37" s="6">
        <v>-30237</v>
      </c>
      <c r="B37" s="2" t="s">
        <v>56</v>
      </c>
      <c r="C37" s="2" t="s">
        <v>9841</v>
      </c>
      <c r="D37" s="3">
        <v>8</v>
      </c>
      <c r="E37" s="3">
        <v>25</v>
      </c>
      <c r="F37" s="3" t="str">
        <f>HYPERLINK("https://www.boe.es/gazeta/dias/1817/03/18/pdfs/GMD-1817-33.pdf","Abrir PDF")</f>
        <v>Abrir PDF</v>
      </c>
    </row>
    <row r="38" spans="1:6" ht="31.05" customHeight="1">
      <c r="A38" s="6">
        <v>-30235</v>
      </c>
      <c r="B38" s="2" t="s">
        <v>398</v>
      </c>
      <c r="C38" s="2" t="s">
        <v>9842</v>
      </c>
      <c r="D38" s="3">
        <v>8</v>
      </c>
      <c r="E38" s="3">
        <v>22</v>
      </c>
      <c r="F38" s="3" t="str">
        <f>HYPERLINK("https://www.boe.es/gazeta/dias/1817/03/20/pdfs/GMD-1817-34.pdf","Abrir PDF")</f>
        <v>Abrir PDF</v>
      </c>
    </row>
    <row r="39" spans="1:6" ht="31.05" customHeight="1">
      <c r="A39" s="6">
        <v>-30233</v>
      </c>
      <c r="B39" s="2" t="s">
        <v>577</v>
      </c>
      <c r="C39" s="2" t="s">
        <v>9843</v>
      </c>
      <c r="D39" s="3">
        <v>8</v>
      </c>
      <c r="E39" s="3">
        <v>34</v>
      </c>
      <c r="F39" s="3" t="str">
        <f>HYPERLINK("https://www.boe.es/gazeta/dias/1817/03/22/pdfs/GMD-1817-35.pdf","Abrir PDF")</f>
        <v>Abrir PDF</v>
      </c>
    </row>
    <row r="40" spans="1:6" ht="31.05" customHeight="1">
      <c r="A40" s="6">
        <v>-30230</v>
      </c>
      <c r="B40" s="2" t="s">
        <v>189</v>
      </c>
      <c r="C40" s="2" t="s">
        <v>9844</v>
      </c>
      <c r="D40" s="3">
        <v>8</v>
      </c>
      <c r="E40" s="3">
        <v>26</v>
      </c>
      <c r="F40" s="3" t="str">
        <f>HYPERLINK("https://www.boe.es/gazeta/dias/1817/03/25/pdfs/GMD-1817-36.pdf","Abrir PDF")</f>
        <v>Abrir PDF</v>
      </c>
    </row>
    <row r="41" spans="1:6" ht="31.05" customHeight="1">
      <c r="A41" s="6">
        <v>-30228</v>
      </c>
      <c r="B41" s="2" t="s">
        <v>383</v>
      </c>
      <c r="C41" s="2" t="s">
        <v>9845</v>
      </c>
      <c r="D41" s="3">
        <v>8</v>
      </c>
      <c r="E41" s="3">
        <v>24</v>
      </c>
      <c r="F41" s="3" t="str">
        <f>HYPERLINK("https://www.boe.es/gazeta/dias/1817/03/27/pdfs/GMD-1817-37.pdf","Abrir PDF")</f>
        <v>Abrir PDF</v>
      </c>
    </row>
    <row r="42" spans="1:6" ht="31.05" customHeight="1">
      <c r="A42" s="6">
        <v>-30226</v>
      </c>
      <c r="B42" s="2" t="s">
        <v>416</v>
      </c>
      <c r="C42" s="2" t="s">
        <v>9846</v>
      </c>
      <c r="D42" s="3">
        <v>8</v>
      </c>
      <c r="E42" s="3">
        <v>16</v>
      </c>
      <c r="F42" s="3" t="str">
        <f>HYPERLINK("https://www.boe.es/gazeta/dias/1817/03/29/pdfs/GMD-1817-38.pdf","Abrir PDF")</f>
        <v>Abrir PDF</v>
      </c>
    </row>
    <row r="43" spans="1:6" ht="31.05" customHeight="1">
      <c r="A43" s="6">
        <v>-30223</v>
      </c>
      <c r="B43" s="2" t="s">
        <v>627</v>
      </c>
      <c r="C43" s="2" t="s">
        <v>9847</v>
      </c>
      <c r="D43" s="3">
        <v>8</v>
      </c>
      <c r="E43" s="3">
        <v>22</v>
      </c>
      <c r="F43" s="3" t="str">
        <f>HYPERLINK("https://www.boe.es/gazeta/dias/1817/04/01/pdfs/GMD-1817-39.pdf","Abrir PDF")</f>
        <v>Abrir PDF</v>
      </c>
    </row>
    <row r="44" spans="1:6" ht="31.05" customHeight="1">
      <c r="A44" s="6">
        <v>-30221</v>
      </c>
      <c r="B44" s="2" t="s">
        <v>256</v>
      </c>
      <c r="C44" s="2" t="s">
        <v>9848</v>
      </c>
      <c r="D44" s="3">
        <v>8</v>
      </c>
      <c r="E44" s="3">
        <v>18</v>
      </c>
      <c r="F44" s="3" t="str">
        <f>HYPERLINK("https://www.boe.es/gazeta/dias/1817/04/03/pdfs/GMD-1817-40.pdf","Abrir PDF")</f>
        <v>Abrir PDF</v>
      </c>
    </row>
    <row r="45" spans="1:6" ht="31.05" customHeight="1">
      <c r="A45" s="6">
        <v>-30219</v>
      </c>
      <c r="B45" s="2" t="s">
        <v>1346</v>
      </c>
      <c r="C45" s="2" t="s">
        <v>9849</v>
      </c>
      <c r="D45" s="3">
        <v>8</v>
      </c>
      <c r="E45" s="3">
        <v>10</v>
      </c>
      <c r="F45" s="3" t="str">
        <f>HYPERLINK("https://www.boe.es/gazeta/dias/1817/04/05/pdfs/GMD-1817-41.pdf","Abrir PDF")</f>
        <v>Abrir PDF</v>
      </c>
    </row>
    <row r="46" spans="1:6" ht="31.05" customHeight="1">
      <c r="A46" s="6">
        <v>-30216</v>
      </c>
      <c r="B46" s="2" t="s">
        <v>344</v>
      </c>
      <c r="C46" s="2" t="s">
        <v>9850</v>
      </c>
      <c r="D46" s="3">
        <v>8</v>
      </c>
      <c r="E46" s="3">
        <v>15</v>
      </c>
      <c r="F46" s="3" t="str">
        <f>HYPERLINK("https://www.boe.es/gazeta/dias/1817/04/08/pdfs/GMD-1817-42.pdf","Abrir PDF")</f>
        <v>Abrir PDF</v>
      </c>
    </row>
    <row r="47" spans="1:6" ht="31.05" customHeight="1">
      <c r="A47" s="6">
        <v>-30214</v>
      </c>
      <c r="B47" s="2" t="s">
        <v>631</v>
      </c>
      <c r="C47" s="2" t="s">
        <v>9851</v>
      </c>
      <c r="D47" s="3">
        <v>8</v>
      </c>
      <c r="E47" s="3">
        <v>7</v>
      </c>
      <c r="F47" s="3" t="str">
        <f>HYPERLINK("https://www.boe.es/gazeta/dias/1817/04/10/pdfs/GMD-1817-43.pdf","Abrir PDF")</f>
        <v>Abrir PDF</v>
      </c>
    </row>
    <row r="48" spans="1:6" ht="31.05" customHeight="1">
      <c r="A48" s="6">
        <v>-30212</v>
      </c>
      <c r="B48" s="2" t="s">
        <v>745</v>
      </c>
      <c r="C48" s="2" t="s">
        <v>9852</v>
      </c>
      <c r="D48" s="3">
        <v>8</v>
      </c>
      <c r="E48" s="3">
        <v>19</v>
      </c>
      <c r="F48" s="3" t="str">
        <f>HYPERLINK("https://www.boe.es/gazeta/dias/1817/04/12/pdfs/GMD-1817-44.pdf","Abrir PDF")</f>
        <v>Abrir PDF</v>
      </c>
    </row>
    <row r="49" spans="1:6" ht="31.05" customHeight="1">
      <c r="A49" s="6">
        <v>-30209</v>
      </c>
      <c r="B49" s="2" t="s">
        <v>1478</v>
      </c>
      <c r="C49" s="2" t="s">
        <v>9853</v>
      </c>
      <c r="D49" s="3">
        <v>8</v>
      </c>
      <c r="E49" s="3">
        <v>15</v>
      </c>
      <c r="F49" s="3" t="str">
        <f>HYPERLINK("https://www.boe.es/gazeta/dias/1817/04/15/pdfs/GMD-1817-45.pdf","Abrir PDF")</f>
        <v>Abrir PDF</v>
      </c>
    </row>
    <row r="50" spans="1:6" ht="31.05" customHeight="1">
      <c r="A50" s="6">
        <v>-30207</v>
      </c>
      <c r="B50" s="2" t="s">
        <v>1139</v>
      </c>
      <c r="C50" s="2" t="s">
        <v>9854</v>
      </c>
      <c r="D50" s="3">
        <v>8</v>
      </c>
      <c r="E50" s="3">
        <v>17</v>
      </c>
      <c r="F50" s="3" t="str">
        <f>HYPERLINK("https://www.boe.es/gazeta/dias/1817/04/17/pdfs/GMD-1817-46.pdf","Abrir PDF")</f>
        <v>Abrir PDF</v>
      </c>
    </row>
    <row r="51" spans="1:6" ht="31.05" customHeight="1">
      <c r="A51" s="6">
        <v>-30205</v>
      </c>
      <c r="B51" s="2" t="s">
        <v>139</v>
      </c>
      <c r="C51" s="2" t="s">
        <v>9855</v>
      </c>
      <c r="D51" s="3">
        <v>8</v>
      </c>
      <c r="E51" s="3">
        <v>26</v>
      </c>
      <c r="F51" s="3" t="str">
        <f>HYPERLINK("https://www.boe.es/gazeta/dias/1817/04/19/pdfs/GMD-1817-47.pdf","Abrir PDF")</f>
        <v>Abrir PDF</v>
      </c>
    </row>
    <row r="52" spans="1:6" ht="31.05" customHeight="1">
      <c r="A52" s="6">
        <v>-30202</v>
      </c>
      <c r="B52" s="2" t="s">
        <v>418</v>
      </c>
      <c r="C52" s="2" t="s">
        <v>9856</v>
      </c>
      <c r="D52" s="3">
        <v>8</v>
      </c>
      <c r="E52" s="3">
        <v>26</v>
      </c>
      <c r="F52" s="3" t="str">
        <f>HYPERLINK("https://www.boe.es/gazeta/dias/1817/04/22/pdfs/GMD-1817-48.pdf","Abrir PDF")</f>
        <v>Abrir PDF</v>
      </c>
    </row>
    <row r="53" spans="1:6" ht="31.05" customHeight="1">
      <c r="A53" s="6">
        <v>-30200</v>
      </c>
      <c r="B53" s="2" t="s">
        <v>725</v>
      </c>
      <c r="C53" s="2" t="s">
        <v>9857</v>
      </c>
      <c r="D53" s="3">
        <v>8</v>
      </c>
      <c r="E53" s="3">
        <v>38</v>
      </c>
      <c r="F53" s="3" t="str">
        <f>HYPERLINK("https://www.boe.es/gazeta/dias/1817/04/24/pdfs/GMD-1817-49.pdf","Abrir PDF")</f>
        <v>Abrir PDF</v>
      </c>
    </row>
    <row r="54" spans="1:6" ht="31.05" customHeight="1">
      <c r="A54" s="6">
        <v>-30198</v>
      </c>
      <c r="B54" s="2" t="s">
        <v>2185</v>
      </c>
      <c r="C54" s="2" t="s">
        <v>9858</v>
      </c>
      <c r="D54" s="3">
        <v>8</v>
      </c>
      <c r="E54" s="3">
        <v>24</v>
      </c>
      <c r="F54" s="3" t="str">
        <f>HYPERLINK("https://www.boe.es/gazeta/dias/1817/04/26/pdfs/GMD-1817-50.pdf","Abrir PDF")</f>
        <v>Abrir PDF</v>
      </c>
    </row>
    <row r="55" spans="1:6" ht="31.05" customHeight="1">
      <c r="A55" s="6">
        <v>-30195</v>
      </c>
      <c r="B55" s="2" t="s">
        <v>1163</v>
      </c>
      <c r="C55" s="2" t="s">
        <v>9859</v>
      </c>
      <c r="D55" s="3">
        <v>8</v>
      </c>
      <c r="E55" s="3">
        <v>24</v>
      </c>
      <c r="F55" s="3" t="str">
        <f>HYPERLINK("https://www.boe.es/gazeta/dias/1817/04/29/pdfs/GMD-1817-51.pdf","Abrir PDF")</f>
        <v>Abrir PDF</v>
      </c>
    </row>
    <row r="56" spans="1:6" ht="31.05" customHeight="1">
      <c r="A56" s="6">
        <v>-30193</v>
      </c>
      <c r="B56" s="2" t="s">
        <v>38</v>
      </c>
      <c r="C56" s="2" t="s">
        <v>9860</v>
      </c>
      <c r="D56" s="3">
        <v>8</v>
      </c>
      <c r="E56" s="3">
        <v>11</v>
      </c>
      <c r="F56" s="3" t="str">
        <f>HYPERLINK("https://www.boe.es/gazeta/dias/1817/05/01/pdfs/GMD-1817-52.pdf","Abrir PDF")</f>
        <v>Abrir PDF</v>
      </c>
    </row>
    <row r="57" spans="1:6" ht="31.05" customHeight="1">
      <c r="A57" s="6">
        <v>-30191</v>
      </c>
      <c r="B57" s="2" t="s">
        <v>420</v>
      </c>
      <c r="C57" s="2" t="s">
        <v>9861</v>
      </c>
      <c r="D57" s="3">
        <v>8</v>
      </c>
      <c r="E57" s="3">
        <v>7</v>
      </c>
      <c r="F57" s="3" t="str">
        <f>HYPERLINK("https://www.boe.es/gazeta/dias/1817/05/03/pdfs/GMD-1817-53.pdf","Abrir PDF")</f>
        <v>Abrir PDF</v>
      </c>
    </row>
    <row r="58" spans="1:6" ht="31.05" customHeight="1">
      <c r="A58" s="6">
        <v>-30188</v>
      </c>
      <c r="B58" s="2" t="s">
        <v>177</v>
      </c>
      <c r="C58" s="2" t="s">
        <v>9862</v>
      </c>
      <c r="D58" s="3">
        <v>8</v>
      </c>
      <c r="E58" s="3">
        <v>40</v>
      </c>
      <c r="F58" s="3" t="str">
        <f>HYPERLINK("https://www.boe.es/gazeta/dias/1817/05/06/pdfs/GMD-1817-54.pdf","Abrir PDF")</f>
        <v>Abrir PDF</v>
      </c>
    </row>
    <row r="59" spans="1:6" ht="31.05" customHeight="1">
      <c r="A59" s="6">
        <v>-30186</v>
      </c>
      <c r="B59" s="2" t="s">
        <v>2003</v>
      </c>
      <c r="C59" s="2" t="s">
        <v>9863</v>
      </c>
      <c r="D59" s="3">
        <v>8</v>
      </c>
      <c r="E59" s="3">
        <v>16</v>
      </c>
      <c r="F59" s="3" t="str">
        <f>HYPERLINK("https://www.boe.es/gazeta/dias/1817/05/08/pdfs/GMD-1817-55.pdf","Abrir PDF")</f>
        <v>Abrir PDF</v>
      </c>
    </row>
    <row r="60" spans="1:6" ht="31.05" customHeight="1">
      <c r="A60" s="6">
        <v>-30184</v>
      </c>
      <c r="B60" s="2" t="s">
        <v>423</v>
      </c>
      <c r="C60" s="2" t="s">
        <v>9864</v>
      </c>
      <c r="D60" s="3">
        <v>8</v>
      </c>
      <c r="E60" s="3">
        <v>17</v>
      </c>
      <c r="F60" s="3" t="str">
        <f>HYPERLINK("https://www.boe.es/gazeta/dias/1817/05/10/pdfs/GMD-1817-56.pdf","Abrir PDF")</f>
        <v>Abrir PDF</v>
      </c>
    </row>
    <row r="61" spans="1:6" ht="31.05" customHeight="1">
      <c r="A61" s="6">
        <v>-30181</v>
      </c>
      <c r="B61" s="2" t="s">
        <v>3337</v>
      </c>
      <c r="C61" s="2" t="s">
        <v>9865</v>
      </c>
      <c r="D61" s="3">
        <v>8</v>
      </c>
      <c r="E61" s="3">
        <v>15</v>
      </c>
      <c r="F61" s="3" t="str">
        <f>HYPERLINK("https://www.boe.es/gazeta/dias/1817/05/13/pdfs/GMD-1817-57.pdf","Abrir PDF")</f>
        <v>Abrir PDF</v>
      </c>
    </row>
    <row r="62" spans="1:6" ht="31.05" customHeight="1">
      <c r="A62" s="6">
        <v>-30179</v>
      </c>
      <c r="B62" s="2" t="s">
        <v>391</v>
      </c>
      <c r="C62" s="2" t="s">
        <v>9866</v>
      </c>
      <c r="D62" s="3">
        <v>8</v>
      </c>
      <c r="E62" s="3">
        <v>38</v>
      </c>
      <c r="F62" s="3" t="str">
        <f>HYPERLINK("https://www.boe.es/gazeta/dias/1817/05/15/pdfs/GMD-1817-58.pdf","Abrir PDF")</f>
        <v>Abrir PDF</v>
      </c>
    </row>
    <row r="63" spans="1:6" ht="31.05" customHeight="1">
      <c r="A63" s="6">
        <v>-30177</v>
      </c>
      <c r="B63" s="2" t="s">
        <v>633</v>
      </c>
      <c r="C63" s="2" t="s">
        <v>9867</v>
      </c>
      <c r="D63" s="3">
        <v>8</v>
      </c>
      <c r="E63" s="3">
        <v>22</v>
      </c>
      <c r="F63" s="3" t="str">
        <f>HYPERLINK("https://www.boe.es/gazeta/dias/1817/05/17/pdfs/GMD-1817-59.pdf","Abrir PDF")</f>
        <v>Abrir PDF</v>
      </c>
    </row>
    <row r="64" spans="1:6" ht="31.05" customHeight="1">
      <c r="A64" s="6">
        <v>-30174</v>
      </c>
      <c r="B64" s="2" t="s">
        <v>19</v>
      </c>
      <c r="C64" s="2" t="s">
        <v>9868</v>
      </c>
      <c r="D64" s="3">
        <v>8</v>
      </c>
      <c r="E64" s="3">
        <v>12</v>
      </c>
      <c r="F64" s="3" t="str">
        <f>HYPERLINK("https://www.boe.es/gazeta/dias/1817/05/20/pdfs/GMD-1817-60.pdf","Abrir PDF")</f>
        <v>Abrir PDF</v>
      </c>
    </row>
    <row r="65" spans="1:6" ht="31.05" customHeight="1">
      <c r="A65" s="6">
        <v>-30172</v>
      </c>
      <c r="B65" s="2" t="s">
        <v>991</v>
      </c>
      <c r="C65" s="2" t="s">
        <v>9869</v>
      </c>
      <c r="D65" s="3">
        <v>8</v>
      </c>
      <c r="E65" s="3">
        <v>12</v>
      </c>
      <c r="F65" s="3" t="str">
        <f>HYPERLINK("https://www.boe.es/gazeta/dias/1817/05/22/pdfs/GMD-1817-61.pdf","Abrir PDF")</f>
        <v>Abrir PDF</v>
      </c>
    </row>
    <row r="66" spans="1:6" ht="31.05" customHeight="1">
      <c r="A66" s="6">
        <v>-30170</v>
      </c>
      <c r="B66" s="2" t="s">
        <v>98</v>
      </c>
      <c r="C66" s="2" t="s">
        <v>9870</v>
      </c>
      <c r="D66" s="3">
        <v>8</v>
      </c>
      <c r="E66" s="3">
        <v>15</v>
      </c>
      <c r="F66" s="3" t="str">
        <f>HYPERLINK("https://www.boe.es/gazeta/dias/1817/05/24/pdfs/GMD-1817-62.pdf","Abrir PDF")</f>
        <v>Abrir PDF</v>
      </c>
    </row>
    <row r="67" spans="1:6" ht="31.05" customHeight="1">
      <c r="A67" s="6">
        <v>-30167</v>
      </c>
      <c r="B67" s="2" t="s">
        <v>153</v>
      </c>
      <c r="C67" s="2" t="s">
        <v>9871</v>
      </c>
      <c r="D67" s="3">
        <v>8</v>
      </c>
      <c r="E67" s="3">
        <v>32</v>
      </c>
      <c r="F67" s="3" t="str">
        <f>HYPERLINK("https://www.boe.es/gazeta/dias/1817/05/27/pdfs/GMD-1817-63.pdf","Abrir PDF")</f>
        <v>Abrir PDF</v>
      </c>
    </row>
    <row r="68" spans="1:6" ht="31.05" customHeight="1">
      <c r="A68" s="6">
        <v>-30165</v>
      </c>
      <c r="B68" s="2" t="s">
        <v>2040</v>
      </c>
      <c r="C68" s="2" t="s">
        <v>9872</v>
      </c>
      <c r="D68" s="3">
        <v>8</v>
      </c>
      <c r="E68" s="3">
        <v>11</v>
      </c>
      <c r="F68" s="3" t="str">
        <f>HYPERLINK("https://www.boe.es/gazeta/dias/1817/05/29/pdfs/GMD-1817-64.pdf","Abrir PDF")</f>
        <v>Abrir PDF</v>
      </c>
    </row>
    <row r="69" spans="1:6" ht="31.05" customHeight="1">
      <c r="A69" s="6">
        <v>-30163</v>
      </c>
      <c r="B69" s="2" t="s">
        <v>166</v>
      </c>
      <c r="C69" s="2" t="s">
        <v>9873</v>
      </c>
      <c r="D69" s="3">
        <v>8</v>
      </c>
      <c r="E69" s="3">
        <v>18</v>
      </c>
      <c r="F69" s="3" t="str">
        <f>HYPERLINK("https://www.boe.es/gazeta/dias/1817/05/31/pdfs/GMD-1817-65.pdf","Abrir PDF")</f>
        <v>Abrir PDF</v>
      </c>
    </row>
    <row r="70" spans="1:6" ht="31.05" customHeight="1">
      <c r="A70" s="6">
        <v>-30160</v>
      </c>
      <c r="B70" s="2" t="s">
        <v>116</v>
      </c>
      <c r="C70" s="2" t="s">
        <v>9874</v>
      </c>
      <c r="D70" s="3">
        <v>8</v>
      </c>
      <c r="E70" s="3">
        <v>44</v>
      </c>
      <c r="F70" s="3" t="str">
        <f>HYPERLINK("https://www.boe.es/gazeta/dias/1817/06/03/pdfs/GMD-1817-66.pdf","Abrir PDF")</f>
        <v>Abrir PDF</v>
      </c>
    </row>
    <row r="71" spans="1:6" ht="31.05" customHeight="1">
      <c r="A71" s="6">
        <v>-30158</v>
      </c>
      <c r="B71" s="2" t="s">
        <v>305</v>
      </c>
      <c r="C71" s="2" t="s">
        <v>9875</v>
      </c>
      <c r="D71" s="3">
        <v>8</v>
      </c>
      <c r="E71" s="3">
        <v>30</v>
      </c>
      <c r="F71" s="3" t="str">
        <f>HYPERLINK("https://www.boe.es/gazeta/dias/1817/06/05/pdfs/GMD-1817-67.pdf","Abrir PDF")</f>
        <v>Abrir PDF</v>
      </c>
    </row>
    <row r="72" spans="1:6" ht="31.05" customHeight="1">
      <c r="A72" s="6">
        <v>-30156</v>
      </c>
      <c r="B72" s="2" t="s">
        <v>635</v>
      </c>
      <c r="C72" s="2" t="s">
        <v>9876</v>
      </c>
      <c r="D72" s="3">
        <v>8</v>
      </c>
      <c r="E72" s="3">
        <v>37</v>
      </c>
      <c r="F72" s="3" t="str">
        <f>HYPERLINK("https://www.boe.es/gazeta/dias/1817/06/07/pdfs/GMD-1817-68.pdf","Abrir PDF")</f>
        <v>Abrir PDF</v>
      </c>
    </row>
    <row r="73" spans="1:6" ht="31.05" customHeight="1">
      <c r="A73" s="6">
        <v>-30153</v>
      </c>
      <c r="B73" s="2" t="s">
        <v>843</v>
      </c>
      <c r="C73" s="2" t="s">
        <v>9877</v>
      </c>
      <c r="D73" s="3">
        <v>8</v>
      </c>
      <c r="E73" s="3">
        <v>14</v>
      </c>
      <c r="F73" s="3" t="str">
        <f>HYPERLINK("https://www.boe.es/gazeta/dias/1817/06/10/pdfs/GMD-1817-69.pdf","Abrir PDF")</f>
        <v>Abrir PDF</v>
      </c>
    </row>
    <row r="74" spans="1:6" ht="31.05" customHeight="1">
      <c r="A74" s="6">
        <v>-30151</v>
      </c>
      <c r="B74" s="2" t="s">
        <v>1422</v>
      </c>
      <c r="C74" s="2" t="s">
        <v>9878</v>
      </c>
      <c r="D74" s="3">
        <v>8</v>
      </c>
      <c r="E74" s="3">
        <v>36</v>
      </c>
      <c r="F74" s="3" t="str">
        <f>HYPERLINK("https://www.boe.es/gazeta/dias/1817/06/12/pdfs/GMD-1817-70.pdf","Abrir PDF")</f>
        <v>Abrir PDF</v>
      </c>
    </row>
    <row r="75" spans="1:6" ht="31.05" customHeight="1">
      <c r="A75" s="6">
        <v>-30149</v>
      </c>
      <c r="B75" s="2" t="s">
        <v>430</v>
      </c>
      <c r="C75" s="2" t="s">
        <v>9879</v>
      </c>
      <c r="D75" s="3">
        <v>8</v>
      </c>
      <c r="E75" s="3">
        <v>31</v>
      </c>
      <c r="F75" s="3" t="str">
        <f>HYPERLINK("https://www.boe.es/gazeta/dias/1817/06/14/pdfs/GMD-1817-71.pdf","Abrir PDF")</f>
        <v>Abrir PDF</v>
      </c>
    </row>
    <row r="76" spans="1:6" ht="31.05" customHeight="1">
      <c r="A76" s="6">
        <v>-30146</v>
      </c>
      <c r="B76" s="2" t="s">
        <v>1005</v>
      </c>
      <c r="C76" s="2" t="s">
        <v>9880</v>
      </c>
      <c r="D76" s="3">
        <v>8</v>
      </c>
      <c r="E76" s="3">
        <v>10</v>
      </c>
      <c r="F76" s="3" t="str">
        <f>HYPERLINK("https://www.boe.es/gazeta/dias/1817/06/17/pdfs/GMD-1817-72.pdf","Abrir PDF")</f>
        <v>Abrir PDF</v>
      </c>
    </row>
    <row r="77" spans="1:6" ht="31.05" customHeight="1">
      <c r="A77" s="6">
        <v>-30144</v>
      </c>
      <c r="B77" s="2" t="s">
        <v>846</v>
      </c>
      <c r="C77" s="2" t="s">
        <v>9881</v>
      </c>
      <c r="D77" s="3">
        <v>8</v>
      </c>
      <c r="E77" s="3">
        <v>19</v>
      </c>
      <c r="F77" s="3" t="str">
        <f>HYPERLINK("https://www.boe.es/gazeta/dias/1817/06/19/pdfs/GMD-1817-73.pdf","Abrir PDF")</f>
        <v>Abrir PDF</v>
      </c>
    </row>
    <row r="78" spans="1:6" ht="31.05" customHeight="1">
      <c r="A78" s="6">
        <v>-30142</v>
      </c>
      <c r="B78" s="2" t="s">
        <v>286</v>
      </c>
      <c r="C78" s="2" t="s">
        <v>9882</v>
      </c>
      <c r="D78" s="3">
        <v>8</v>
      </c>
      <c r="E78" s="3">
        <v>26</v>
      </c>
      <c r="F78" s="3" t="str">
        <f>HYPERLINK("https://www.boe.es/gazeta/dias/1817/06/21/pdfs/GMD-1817-74.pdf","Abrir PDF")</f>
        <v>Abrir PDF</v>
      </c>
    </row>
    <row r="79" spans="1:6" ht="31.05" customHeight="1">
      <c r="A79" s="6">
        <v>-30139</v>
      </c>
      <c r="B79" s="2" t="s">
        <v>993</v>
      </c>
      <c r="C79" s="2" t="s">
        <v>9883</v>
      </c>
      <c r="D79" s="3">
        <v>8</v>
      </c>
      <c r="E79" s="3">
        <v>23</v>
      </c>
      <c r="F79" s="3" t="str">
        <f>HYPERLINK("https://www.boe.es/gazeta/dias/1817/06/24/pdfs/GMD-1817-75.pdf","Abrir PDF")</f>
        <v>Abrir PDF</v>
      </c>
    </row>
    <row r="80" spans="1:6" ht="31.05" customHeight="1">
      <c r="A80" s="6">
        <v>-30137</v>
      </c>
      <c r="B80" s="2" t="s">
        <v>935</v>
      </c>
      <c r="C80" s="2" t="s">
        <v>9884</v>
      </c>
      <c r="D80" s="3">
        <v>7</v>
      </c>
      <c r="E80" s="3">
        <v>17</v>
      </c>
      <c r="F80" s="3" t="str">
        <f>HYPERLINK("https://www.boe.es/gazeta/dias/1817/06/26/pdfs/GMD-1817-76.pdf","Abrir PDF")</f>
        <v>Abrir PDF</v>
      </c>
    </row>
    <row r="81" spans="1:6" ht="31.05" customHeight="1">
      <c r="A81" s="6">
        <v>-30135</v>
      </c>
      <c r="B81" s="2" t="s">
        <v>239</v>
      </c>
      <c r="C81" s="2" t="s">
        <v>9885</v>
      </c>
      <c r="D81" s="3">
        <v>7</v>
      </c>
      <c r="E81" s="3">
        <v>27</v>
      </c>
      <c r="F81" s="3" t="str">
        <f>HYPERLINK("https://www.boe.es/gazeta/dias/1817/06/28/pdfs/GMD-1817-77.pdf","Abrir PDF")</f>
        <v>Abrir PDF</v>
      </c>
    </row>
    <row r="82" spans="1:6" ht="31.05" customHeight="1">
      <c r="A82" s="6">
        <v>-30132</v>
      </c>
      <c r="B82" s="2" t="s">
        <v>718</v>
      </c>
      <c r="C82" s="2" t="s">
        <v>9886</v>
      </c>
      <c r="D82" s="3">
        <v>8</v>
      </c>
      <c r="E82" s="3">
        <v>19</v>
      </c>
      <c r="F82" s="3" t="str">
        <f>HYPERLINK("https://www.boe.es/gazeta/dias/1817/07/01/pdfs/GMD-1817-78.pdf","Abrir PDF")</f>
        <v>Abrir PDF</v>
      </c>
    </row>
    <row r="83" spans="1:6" ht="31.05" customHeight="1">
      <c r="A83" s="6">
        <v>-30130</v>
      </c>
      <c r="B83" s="2" t="s">
        <v>768</v>
      </c>
      <c r="C83" s="2" t="s">
        <v>9887</v>
      </c>
      <c r="D83" s="3">
        <v>8</v>
      </c>
      <c r="E83" s="3">
        <v>28</v>
      </c>
      <c r="F83" s="3" t="str">
        <f>HYPERLINK("https://www.boe.es/gazeta/dias/1817/07/03/pdfs/GMD-1817-79.pdf","Abrir PDF")</f>
        <v>Abrir PDF</v>
      </c>
    </row>
    <row r="84" spans="1:6" ht="31.05" customHeight="1">
      <c r="A84" s="6">
        <v>-30128</v>
      </c>
      <c r="B84" s="2" t="s">
        <v>761</v>
      </c>
      <c r="C84" s="2" t="s">
        <v>9888</v>
      </c>
      <c r="D84" s="3">
        <v>8</v>
      </c>
      <c r="E84" s="3">
        <v>24</v>
      </c>
      <c r="F84" s="3" t="str">
        <f>HYPERLINK("https://www.boe.es/gazeta/dias/1817/07/05/pdfs/GMD-1817-80.pdf","Abrir PDF")</f>
        <v>Abrir PDF</v>
      </c>
    </row>
    <row r="85" spans="1:6" ht="31.05" customHeight="1">
      <c r="A85" s="6">
        <v>-30125</v>
      </c>
      <c r="B85" s="2" t="s">
        <v>102</v>
      </c>
      <c r="C85" s="2" t="s">
        <v>9889</v>
      </c>
      <c r="D85" s="3">
        <v>12</v>
      </c>
      <c r="E85" s="3">
        <v>28</v>
      </c>
      <c r="F85" s="3" t="str">
        <f>HYPERLINK("https://www.boe.es/gazeta/dias/1817/07/08/pdfs/GMD-1817-81.pdf","Abrir PDF")</f>
        <v>Abrir PDF</v>
      </c>
    </row>
    <row r="86" spans="1:6" ht="31.05" customHeight="1">
      <c r="A86" s="6">
        <v>-30123</v>
      </c>
      <c r="B86" s="2" t="s">
        <v>848</v>
      </c>
      <c r="C86" s="2" t="s">
        <v>9890</v>
      </c>
      <c r="D86" s="3">
        <v>8</v>
      </c>
      <c r="E86" s="3">
        <v>21</v>
      </c>
      <c r="F86" s="3" t="str">
        <f>HYPERLINK("https://www.boe.es/gazeta/dias/1817/07/10/pdfs/GMD-1817-82.pdf","Abrir PDF")</f>
        <v>Abrir PDF</v>
      </c>
    </row>
    <row r="87" spans="1:6" ht="31.05" customHeight="1">
      <c r="A87" s="6">
        <v>-30121</v>
      </c>
      <c r="B87" s="2" t="s">
        <v>851</v>
      </c>
      <c r="C87" s="2" t="s">
        <v>9891</v>
      </c>
      <c r="D87" s="3">
        <v>8</v>
      </c>
      <c r="E87" s="3">
        <v>15</v>
      </c>
      <c r="F87" s="3" t="str">
        <f>HYPERLINK("https://www.boe.es/gazeta/dias/1817/07/12/pdfs/GMD-1817-83.pdf","Abrir PDF")</f>
        <v>Abrir PDF</v>
      </c>
    </row>
    <row r="88" spans="1:6" ht="31.05" customHeight="1">
      <c r="A88" s="6">
        <v>-30118</v>
      </c>
      <c r="B88" s="2" t="s">
        <v>432</v>
      </c>
      <c r="C88" s="2" t="s">
        <v>9892</v>
      </c>
      <c r="D88" s="3">
        <v>8</v>
      </c>
      <c r="E88" s="3">
        <v>20</v>
      </c>
      <c r="F88" s="3" t="str">
        <f>HYPERLINK("https://www.boe.es/gazeta/dias/1817/07/15/pdfs/GMD-1817-84.pdf","Abrir PDF")</f>
        <v>Abrir PDF</v>
      </c>
    </row>
    <row r="89" spans="1:6" ht="31.05" customHeight="1">
      <c r="A89" s="6">
        <v>-30116</v>
      </c>
      <c r="B89" s="2" t="s">
        <v>319</v>
      </c>
      <c r="C89" s="2" t="s">
        <v>9893</v>
      </c>
      <c r="D89" s="3">
        <v>8</v>
      </c>
      <c r="E89" s="3">
        <v>21</v>
      </c>
      <c r="F89" s="3" t="str">
        <f>HYPERLINK("https://www.boe.es/gazeta/dias/1817/07/17/pdfs/GMD-1817-85.pdf","Abrir PDF")</f>
        <v>Abrir PDF</v>
      </c>
    </row>
    <row r="90" spans="1:6" ht="31.05" customHeight="1">
      <c r="A90" s="6">
        <v>-30114</v>
      </c>
      <c r="B90" s="2" t="s">
        <v>500</v>
      </c>
      <c r="C90" s="2" t="s">
        <v>9894</v>
      </c>
      <c r="D90" s="3">
        <v>8</v>
      </c>
      <c r="E90" s="3">
        <v>38</v>
      </c>
      <c r="F90" s="3" t="str">
        <f>HYPERLINK("https://www.boe.es/gazeta/dias/1817/07/19/pdfs/GMD-1817-86.pdf","Abrir PDF")</f>
        <v>Abrir PDF</v>
      </c>
    </row>
    <row r="91" spans="1:6" ht="31.05" customHeight="1">
      <c r="A91" s="6">
        <v>-30111</v>
      </c>
      <c r="B91" s="2" t="s">
        <v>1017</v>
      </c>
      <c r="C91" s="2" t="s">
        <v>9895</v>
      </c>
      <c r="D91" s="3">
        <v>8</v>
      </c>
      <c r="E91" s="3">
        <v>10</v>
      </c>
      <c r="F91" s="3" t="str">
        <f>HYPERLINK("https://www.boe.es/gazeta/dias/1817/07/22/pdfs/GMD-1817-87.pdf","Abrir PDF")</f>
        <v>Abrir PDF</v>
      </c>
    </row>
    <row r="92" spans="1:6" ht="31.05" customHeight="1">
      <c r="A92" s="6">
        <v>-30109</v>
      </c>
      <c r="B92" s="2" t="s">
        <v>205</v>
      </c>
      <c r="C92" s="2" t="s">
        <v>9896</v>
      </c>
      <c r="D92" s="3">
        <v>16</v>
      </c>
      <c r="E92" s="3">
        <v>74</v>
      </c>
      <c r="F92" s="3" t="str">
        <f>HYPERLINK("https://www.boe.es/gazeta/dias/1817/07/24/pdfs/GMD-1817-88.pdf","Abrir PDF")</f>
        <v>Abrir PDF</v>
      </c>
    </row>
    <row r="93" spans="1:6" ht="31.05" customHeight="1">
      <c r="A93" s="6">
        <v>-30107</v>
      </c>
      <c r="B93" s="2" t="s">
        <v>307</v>
      </c>
      <c r="C93" s="2" t="s">
        <v>9897</v>
      </c>
      <c r="D93" s="3">
        <v>8</v>
      </c>
      <c r="E93" s="3">
        <v>10</v>
      </c>
      <c r="F93" s="3" t="str">
        <f>HYPERLINK("https://www.boe.es/gazeta/dias/1817/07/26/pdfs/GMD-1817-89.pdf","Abrir PDF")</f>
        <v>Abrir PDF</v>
      </c>
    </row>
    <row r="94" spans="1:6" ht="31.05" customHeight="1">
      <c r="A94" s="6">
        <v>-30104</v>
      </c>
      <c r="B94" s="2" t="s">
        <v>856</v>
      </c>
      <c r="C94" s="2" t="s">
        <v>9898</v>
      </c>
      <c r="D94" s="3">
        <v>8</v>
      </c>
      <c r="E94" s="3">
        <v>28</v>
      </c>
      <c r="F94" s="3" t="str">
        <f>HYPERLINK("https://www.boe.es/gazeta/dias/1817/07/29/pdfs/GMD-1817-90.pdf","Abrir PDF")</f>
        <v>Abrir PDF</v>
      </c>
    </row>
    <row r="95" spans="1:6" ht="31.05" customHeight="1">
      <c r="A95" s="6">
        <v>-30102</v>
      </c>
      <c r="B95" s="2" t="s">
        <v>502</v>
      </c>
      <c r="C95" s="2" t="s">
        <v>9899</v>
      </c>
      <c r="D95" s="3">
        <v>8</v>
      </c>
      <c r="E95" s="3">
        <v>16</v>
      </c>
      <c r="F95" s="3" t="str">
        <f>HYPERLINK("https://www.boe.es/gazeta/dias/1817/07/31/pdfs/GMD-1817-91.pdf","Abrir PDF")</f>
        <v>Abrir PDF</v>
      </c>
    </row>
    <row r="96" spans="1:6" ht="31.05" customHeight="1">
      <c r="A96" s="6">
        <v>-30100</v>
      </c>
      <c r="B96" s="2" t="s">
        <v>436</v>
      </c>
      <c r="C96" s="2" t="s">
        <v>9900</v>
      </c>
      <c r="D96" s="3">
        <v>8</v>
      </c>
      <c r="E96" s="3">
        <v>18</v>
      </c>
      <c r="F96" s="3" t="str">
        <f>HYPERLINK("https://www.boe.es/gazeta/dias/1817/08/02/pdfs/GMD-1817-92.pdf","Abrir PDF")</f>
        <v>Abrir PDF</v>
      </c>
    </row>
    <row r="97" spans="1:6" ht="31.05" customHeight="1">
      <c r="A97" s="6">
        <v>-30097</v>
      </c>
      <c r="B97" s="2" t="s">
        <v>156</v>
      </c>
      <c r="C97" s="2" t="s">
        <v>9901</v>
      </c>
      <c r="D97" s="3">
        <v>8</v>
      </c>
      <c r="E97" s="3">
        <v>33</v>
      </c>
      <c r="F97" s="3" t="str">
        <f>HYPERLINK("https://www.boe.es/gazeta/dias/1817/08/05/pdfs/GMD-1817-93.pdf","Abrir PDF")</f>
        <v>Abrir PDF</v>
      </c>
    </row>
    <row r="98" spans="1:6" ht="31.05" customHeight="1">
      <c r="A98" s="6">
        <v>-30095</v>
      </c>
      <c r="B98" s="2" t="s">
        <v>365</v>
      </c>
      <c r="C98" s="2" t="s">
        <v>9902</v>
      </c>
      <c r="D98" s="3">
        <v>12</v>
      </c>
      <c r="E98" s="3">
        <v>28</v>
      </c>
      <c r="F98" s="3" t="str">
        <f>HYPERLINK("https://www.boe.es/gazeta/dias/1817/08/07/pdfs/GMD-1817-94.pdf","Abrir PDF")</f>
        <v>Abrir PDF</v>
      </c>
    </row>
    <row r="99" spans="1:6" ht="31.05" customHeight="1">
      <c r="A99" s="6">
        <v>-30093</v>
      </c>
      <c r="B99" s="2" t="s">
        <v>230</v>
      </c>
      <c r="C99" s="2" t="s">
        <v>9903</v>
      </c>
      <c r="D99" s="3">
        <v>8</v>
      </c>
      <c r="E99" s="3">
        <v>20</v>
      </c>
      <c r="F99" s="3" t="str">
        <f>HYPERLINK("https://www.boe.es/gazeta/dias/1817/08/09/pdfs/GMD-1817-95.pdf","Abrir PDF")</f>
        <v>Abrir PDF</v>
      </c>
    </row>
    <row r="100" spans="1:6" ht="31.05" customHeight="1">
      <c r="A100" s="6">
        <v>-30090</v>
      </c>
      <c r="B100" s="2" t="s">
        <v>89</v>
      </c>
      <c r="C100" s="2" t="s">
        <v>9904</v>
      </c>
      <c r="D100" s="3">
        <v>8</v>
      </c>
      <c r="E100" s="3">
        <v>27</v>
      </c>
      <c r="F100" s="3" t="str">
        <f>HYPERLINK("https://www.boe.es/gazeta/dias/1817/08/12/pdfs/GMD-1817-96.pdf","Abrir PDF")</f>
        <v>Abrir PDF</v>
      </c>
    </row>
    <row r="101" spans="1:6" ht="31.05" customHeight="1">
      <c r="A101" s="6">
        <v>-30088</v>
      </c>
      <c r="B101" s="2" t="s">
        <v>244</v>
      </c>
      <c r="C101" s="2" t="s">
        <v>9905</v>
      </c>
      <c r="D101" s="3">
        <v>8</v>
      </c>
      <c r="E101" s="3">
        <v>10</v>
      </c>
      <c r="F101" s="3" t="str">
        <f>HYPERLINK("https://www.boe.es/gazeta/dias/1817/08/14/pdfs/GMD-1817-97.pdf","Abrir PDF")</f>
        <v>Abrir PDF</v>
      </c>
    </row>
    <row r="102" spans="1:6" ht="31.05" customHeight="1">
      <c r="A102" s="6">
        <v>-30086</v>
      </c>
      <c r="B102" s="2" t="s">
        <v>221</v>
      </c>
      <c r="C102" s="2" t="s">
        <v>9906</v>
      </c>
      <c r="D102" s="3">
        <v>8</v>
      </c>
      <c r="E102" s="3">
        <v>32</v>
      </c>
      <c r="F102" s="3" t="str">
        <f>HYPERLINK("https://www.boe.es/gazeta/dias/1817/08/16/pdfs/GMD-1817-98.pdf","Abrir PDF")</f>
        <v>Abrir PDF</v>
      </c>
    </row>
    <row r="103" spans="1:6" ht="31.05" customHeight="1">
      <c r="A103" s="6">
        <v>-30083</v>
      </c>
      <c r="B103" s="2" t="s">
        <v>1273</v>
      </c>
      <c r="C103" s="2" t="s">
        <v>9907</v>
      </c>
      <c r="D103" s="3">
        <v>8</v>
      </c>
      <c r="E103" s="3">
        <v>17</v>
      </c>
      <c r="F103" s="3" t="str">
        <f>HYPERLINK("https://www.boe.es/gazeta/dias/1817/08/19/pdfs/GMD-1817-99.pdf","Abrir PDF")</f>
        <v>Abrir PDF</v>
      </c>
    </row>
    <row r="104" spans="1:6" ht="31.05" customHeight="1">
      <c r="A104" s="6">
        <v>-30081</v>
      </c>
      <c r="B104" s="2" t="s">
        <v>133</v>
      </c>
      <c r="C104" s="2" t="s">
        <v>9908</v>
      </c>
      <c r="D104" s="3">
        <v>12</v>
      </c>
      <c r="E104" s="3">
        <v>48</v>
      </c>
      <c r="F104" s="3" t="str">
        <f>HYPERLINK("https://www.boe.es/gazeta/dias/1817/08/21/pdfs/GMD-1817-100.pdf","Abrir PDF")</f>
        <v>Abrir PDF</v>
      </c>
    </row>
    <row r="105" spans="1:6" ht="31.05" customHeight="1">
      <c r="A105" s="6">
        <v>-30079</v>
      </c>
      <c r="B105" s="2" t="s">
        <v>45</v>
      </c>
      <c r="C105" s="2" t="s">
        <v>9909</v>
      </c>
      <c r="D105" s="3">
        <v>8</v>
      </c>
      <c r="E105" s="3">
        <v>40</v>
      </c>
      <c r="F105" s="3" t="str">
        <f>HYPERLINK("https://www.boe.es/gazeta/dias/1817/08/23/pdfs/GMD-1817-101.pdf","Abrir PDF")</f>
        <v>Abrir PDF</v>
      </c>
    </row>
    <row r="106" spans="1:6" ht="31.05" customHeight="1">
      <c r="A106" s="6">
        <v>-30076</v>
      </c>
      <c r="B106" s="2" t="s">
        <v>439</v>
      </c>
      <c r="C106" s="2" t="s">
        <v>9910</v>
      </c>
      <c r="D106" s="3">
        <v>8</v>
      </c>
      <c r="E106" s="3">
        <v>24</v>
      </c>
      <c r="F106" s="3" t="str">
        <f>HYPERLINK("https://www.boe.es/gazeta/dias/1817/08/26/pdfs/GMD-1817-102.pdf","Abrir PDF")</f>
        <v>Abrir PDF</v>
      </c>
    </row>
    <row r="107" spans="1:6" ht="31.05" customHeight="1">
      <c r="A107" s="6">
        <v>-30074</v>
      </c>
      <c r="B107" s="2" t="s">
        <v>368</v>
      </c>
      <c r="C107" s="2" t="s">
        <v>9911</v>
      </c>
      <c r="D107" s="3">
        <v>12</v>
      </c>
      <c r="E107" s="3">
        <v>8</v>
      </c>
      <c r="F107" s="3" t="str">
        <f>HYPERLINK("https://www.boe.es/gazeta/dias/1817/08/28/pdfs/GMD-1817-103.pdf","Abrir PDF")</f>
        <v>Abrir PDF</v>
      </c>
    </row>
    <row r="108" spans="1:6" ht="31.05" customHeight="1">
      <c r="A108" s="6">
        <v>-30072</v>
      </c>
      <c r="B108" s="2" t="s">
        <v>442</v>
      </c>
      <c r="C108" s="2" t="s">
        <v>9912</v>
      </c>
      <c r="D108" s="3">
        <v>8</v>
      </c>
      <c r="E108" s="3">
        <v>19</v>
      </c>
      <c r="F108" s="3" t="str">
        <f>HYPERLINK("https://www.boe.es/gazeta/dias/1817/08/30/pdfs/GMD-1817-104.pdf","Abrir PDF")</f>
        <v>Abrir PDF</v>
      </c>
    </row>
    <row r="109" spans="1:6" ht="31.05" customHeight="1">
      <c r="A109" s="6">
        <v>-30069</v>
      </c>
      <c r="B109" s="2" t="s">
        <v>817</v>
      </c>
      <c r="C109" s="2" t="s">
        <v>9913</v>
      </c>
      <c r="D109" s="3">
        <v>8</v>
      </c>
      <c r="E109" s="3">
        <v>19</v>
      </c>
      <c r="F109" s="3" t="str">
        <f>HYPERLINK("https://www.boe.es/gazeta/dias/1817/09/02/pdfs/GMD-1817-105.pdf","Abrir PDF")</f>
        <v>Abrir PDF</v>
      </c>
    </row>
    <row r="110" spans="1:6" ht="31.05" customHeight="1">
      <c r="A110" s="6">
        <v>-30067</v>
      </c>
      <c r="B110" s="2" t="s">
        <v>1221</v>
      </c>
      <c r="C110" s="2" t="s">
        <v>9914</v>
      </c>
      <c r="D110" s="3">
        <v>8</v>
      </c>
      <c r="E110" s="3">
        <v>9</v>
      </c>
      <c r="F110" s="3" t="str">
        <f>HYPERLINK("https://www.boe.es/gazeta/dias/1817/09/04/pdfs/GMD-1817-106.pdf","Abrir PDF")</f>
        <v>Abrir PDF</v>
      </c>
    </row>
    <row r="111" spans="1:6" ht="31.05" customHeight="1">
      <c r="A111" s="6">
        <v>-30065</v>
      </c>
      <c r="B111" s="2" t="s">
        <v>201</v>
      </c>
      <c r="C111" s="2" t="s">
        <v>9915</v>
      </c>
      <c r="D111" s="3">
        <v>8</v>
      </c>
      <c r="E111" s="3">
        <v>90</v>
      </c>
      <c r="F111" s="3" t="str">
        <f>HYPERLINK("https://www.boe.es/gazeta/dias/1817/09/06/pdfs/GMD-1817-107.pdf","Abrir PDF")</f>
        <v>Abrir PDF</v>
      </c>
    </row>
    <row r="112" spans="1:6" ht="31.05" customHeight="1">
      <c r="A112" s="6">
        <v>-30062</v>
      </c>
      <c r="B112" s="2" t="s">
        <v>444</v>
      </c>
      <c r="C112" s="2" t="s">
        <v>9916</v>
      </c>
      <c r="D112" s="3">
        <v>12</v>
      </c>
      <c r="E112" s="3">
        <v>43</v>
      </c>
      <c r="F112" s="3" t="str">
        <f>HYPERLINK("https://www.boe.es/gazeta/dias/1817/09/09/pdfs/GMD-1817-108.pdf","Abrir PDF")</f>
        <v>Abrir PDF</v>
      </c>
    </row>
    <row r="113" spans="1:6" ht="31.05" customHeight="1">
      <c r="A113" s="6">
        <v>-30060</v>
      </c>
      <c r="B113" s="2" t="s">
        <v>446</v>
      </c>
      <c r="C113" s="2" t="s">
        <v>9917</v>
      </c>
      <c r="D113" s="3">
        <v>8</v>
      </c>
      <c r="E113" s="3">
        <v>30</v>
      </c>
      <c r="F113" s="3" t="str">
        <f>HYPERLINK("https://www.boe.es/gazeta/dias/1817/09/11/pdfs/GMD-1817-109.pdf","Abrir PDF")</f>
        <v>Abrir PDF</v>
      </c>
    </row>
    <row r="114" spans="1:6" ht="31.05" customHeight="1">
      <c r="A114" s="6">
        <v>-30058</v>
      </c>
      <c r="B114" s="2" t="s">
        <v>1385</v>
      </c>
      <c r="C114" s="2" t="s">
        <v>9918</v>
      </c>
      <c r="D114" s="3">
        <v>12</v>
      </c>
      <c r="E114" s="3">
        <v>15</v>
      </c>
      <c r="F114" s="3" t="str">
        <f>HYPERLINK("https://www.boe.es/gazeta/dias/1817/09/13/pdfs/GMD-1817-110.pdf","Abrir PDF")</f>
        <v>Abrir PDF</v>
      </c>
    </row>
    <row r="115" spans="1:6" ht="31.05" customHeight="1">
      <c r="A115" s="6">
        <v>-30055</v>
      </c>
      <c r="B115" s="2" t="s">
        <v>71</v>
      </c>
      <c r="C115" s="2" t="s">
        <v>9919</v>
      </c>
      <c r="D115" s="3">
        <v>12</v>
      </c>
      <c r="E115" s="3">
        <v>35</v>
      </c>
      <c r="F115" s="3" t="str">
        <f>HYPERLINK("https://www.boe.es/gazeta/dias/1817/09/16/pdfs/GMD-1817-111.pdf","Abrir PDF")</f>
        <v>Abrir PDF</v>
      </c>
    </row>
    <row r="116" spans="1:6" ht="31.05" customHeight="1">
      <c r="A116" s="6">
        <v>-30053</v>
      </c>
      <c r="B116" s="2" t="s">
        <v>129</v>
      </c>
      <c r="C116" s="2" t="s">
        <v>9920</v>
      </c>
      <c r="D116" s="3">
        <v>12</v>
      </c>
      <c r="E116" s="3">
        <v>29</v>
      </c>
      <c r="F116" s="3" t="str">
        <f>HYPERLINK("https://www.boe.es/gazeta/dias/1817/09/18/pdfs/GMD-1817-112.pdf","Abrir PDF")</f>
        <v>Abrir PDF</v>
      </c>
    </row>
    <row r="117" spans="1:6" ht="31.05" customHeight="1">
      <c r="A117" s="6">
        <v>-30051</v>
      </c>
      <c r="B117" s="2" t="s">
        <v>26</v>
      </c>
      <c r="C117" s="2" t="s">
        <v>9921</v>
      </c>
      <c r="D117" s="3">
        <v>8</v>
      </c>
      <c r="E117" s="3">
        <v>17</v>
      </c>
      <c r="F117" s="3" t="str">
        <f>HYPERLINK("https://www.boe.es/gazeta/dias/1817/09/20/pdfs/GMD-1817-113.pdf","Abrir PDF")</f>
        <v>Abrir PDF</v>
      </c>
    </row>
    <row r="118" spans="1:6" ht="31.05" customHeight="1">
      <c r="A118" s="6">
        <v>-30048</v>
      </c>
      <c r="B118" s="2" t="s">
        <v>573</v>
      </c>
      <c r="C118" s="2" t="s">
        <v>9922</v>
      </c>
      <c r="D118" s="3">
        <v>8</v>
      </c>
      <c r="E118" s="3">
        <v>24</v>
      </c>
      <c r="F118" s="3" t="str">
        <f>HYPERLINK("https://www.boe.es/gazeta/dias/1817/09/23/pdfs/GMD-1817-114.pdf","Abrir PDF")</f>
        <v>Abrir PDF</v>
      </c>
    </row>
    <row r="119" spans="1:6" ht="31.05" customHeight="1">
      <c r="A119" s="6">
        <v>-30046</v>
      </c>
      <c r="B119" s="2" t="s">
        <v>214</v>
      </c>
      <c r="C119" s="2" t="s">
        <v>9923</v>
      </c>
      <c r="D119" s="3">
        <v>12</v>
      </c>
      <c r="E119" s="3">
        <v>31</v>
      </c>
      <c r="F119" s="3" t="str">
        <f>HYPERLINK("https://www.boe.es/gazeta/dias/1817/09/25/pdfs/GMD-1817-115.pdf","Abrir PDF")</f>
        <v>Abrir PDF</v>
      </c>
    </row>
    <row r="120" spans="1:6" ht="31.05" customHeight="1">
      <c r="A120" s="6">
        <v>-30044</v>
      </c>
      <c r="B120" s="2" t="s">
        <v>450</v>
      </c>
      <c r="C120" s="2" t="s">
        <v>9924</v>
      </c>
      <c r="D120" s="3">
        <v>8</v>
      </c>
      <c r="E120" s="3">
        <v>15</v>
      </c>
      <c r="F120" s="3" t="str">
        <f>HYPERLINK("https://www.boe.es/gazeta/dias/1817/09/27/pdfs/GMD-1817-116.pdf","Abrir PDF")</f>
        <v>Abrir PDF</v>
      </c>
    </row>
    <row r="121" spans="1:6" ht="31.05" customHeight="1">
      <c r="A121" s="6">
        <v>-30041</v>
      </c>
      <c r="B121" s="2" t="s">
        <v>260</v>
      </c>
      <c r="C121" s="2" t="s">
        <v>9925</v>
      </c>
      <c r="D121" s="3">
        <v>8</v>
      </c>
      <c r="E121" s="3">
        <v>24</v>
      </c>
      <c r="F121" s="3" t="str">
        <f>HYPERLINK("https://www.boe.es/gazeta/dias/1817/09/30/pdfs/GMD-1817-117.pdf","Abrir PDF")</f>
        <v>Abrir PDF</v>
      </c>
    </row>
    <row r="122" spans="1:6" ht="31.05" customHeight="1">
      <c r="A122" s="6">
        <v>-30039</v>
      </c>
      <c r="B122" s="2" t="s">
        <v>558</v>
      </c>
      <c r="C122" s="2" t="s">
        <v>9926</v>
      </c>
      <c r="D122" s="3">
        <v>8</v>
      </c>
      <c r="E122" s="3">
        <v>29</v>
      </c>
      <c r="F122" s="3" t="str">
        <f>HYPERLINK("https://www.boe.es/gazeta/dias/1817/10/02/pdfs/GMD-1817-118.pdf","Abrir PDF")</f>
        <v>Abrir PDF</v>
      </c>
    </row>
    <row r="123" spans="1:6" ht="31.05" customHeight="1">
      <c r="A123" s="6">
        <v>-30037</v>
      </c>
      <c r="B123" s="2" t="s">
        <v>453</v>
      </c>
      <c r="C123" s="2" t="s">
        <v>9927</v>
      </c>
      <c r="D123" s="3">
        <v>8</v>
      </c>
      <c r="E123" s="3">
        <v>14</v>
      </c>
      <c r="F123" s="3" t="str">
        <f>HYPERLINK("https://www.boe.es/gazeta/dias/1817/10/04/pdfs/GMD-1817-119.pdf","Abrir PDF")</f>
        <v>Abrir PDF</v>
      </c>
    </row>
    <row r="124" spans="1:6" ht="31.05" customHeight="1">
      <c r="A124" s="6">
        <v>-30034</v>
      </c>
      <c r="B124" s="2" t="s">
        <v>270</v>
      </c>
      <c r="C124" s="2" t="s">
        <v>9928</v>
      </c>
      <c r="D124" s="3">
        <v>8</v>
      </c>
      <c r="E124" s="3">
        <v>20</v>
      </c>
      <c r="F124" s="3" t="str">
        <f>HYPERLINK("https://www.boe.es/gazeta/dias/1817/10/07/pdfs/GMD-1817-120.pdf","Abrir PDF")</f>
        <v>Abrir PDF</v>
      </c>
    </row>
    <row r="125" spans="1:6" ht="31.05" customHeight="1">
      <c r="A125" s="6">
        <v>-30032</v>
      </c>
      <c r="B125" s="2" t="s">
        <v>337</v>
      </c>
      <c r="C125" s="2" t="s">
        <v>9929</v>
      </c>
      <c r="D125" s="3">
        <v>8</v>
      </c>
      <c r="E125" s="3">
        <v>22</v>
      </c>
      <c r="F125" s="3" t="str">
        <f>HYPERLINK("https://www.boe.es/gazeta/dias/1817/10/09/pdfs/GMD-1817-121.pdf","Abrir PDF")</f>
        <v>Abrir PDF</v>
      </c>
    </row>
    <row r="126" spans="1:6" ht="31.05" customHeight="1">
      <c r="A126" s="6">
        <v>-30030</v>
      </c>
      <c r="B126" s="2" t="s">
        <v>508</v>
      </c>
      <c r="C126" s="2" t="s">
        <v>9930</v>
      </c>
      <c r="D126" s="3">
        <v>12</v>
      </c>
      <c r="E126" s="3">
        <v>26</v>
      </c>
      <c r="F126" s="3" t="str">
        <f>HYPERLINK("https://www.boe.es/gazeta/dias/1817/10/11/pdfs/GMD-1817-122.pdf","Abrir PDF")</f>
        <v>Abrir PDF</v>
      </c>
    </row>
    <row r="127" spans="1:6" ht="31.05" customHeight="1">
      <c r="A127" s="6">
        <v>-30027</v>
      </c>
      <c r="B127" s="2" t="s">
        <v>173</v>
      </c>
      <c r="C127" s="2" t="s">
        <v>9931</v>
      </c>
      <c r="D127" s="3">
        <v>8</v>
      </c>
      <c r="E127" s="3">
        <v>50</v>
      </c>
      <c r="F127" s="3" t="str">
        <f>HYPERLINK("https://www.boe.es/gazeta/dias/1817/10/14/pdfs/GMD-1817-123.pdf","Abrir PDF")</f>
        <v>Abrir PDF</v>
      </c>
    </row>
    <row r="128" spans="1:6" ht="31.05" customHeight="1">
      <c r="A128" s="6">
        <v>-30025</v>
      </c>
      <c r="B128" s="2" t="s">
        <v>458</v>
      </c>
      <c r="C128" s="2" t="s">
        <v>9932</v>
      </c>
      <c r="D128" s="3">
        <v>8</v>
      </c>
      <c r="E128" s="3">
        <v>26</v>
      </c>
      <c r="F128" s="3" t="str">
        <f>HYPERLINK("https://www.boe.es/gazeta/dias/1817/10/16/pdfs/GMD-1817-124.pdf","Abrir PDF")</f>
        <v>Abrir PDF</v>
      </c>
    </row>
    <row r="129" spans="1:6" ht="31.05" customHeight="1">
      <c r="A129" s="6">
        <v>-30023</v>
      </c>
      <c r="B129" s="2" t="s">
        <v>460</v>
      </c>
      <c r="C129" s="2" t="s">
        <v>9933</v>
      </c>
      <c r="D129" s="3">
        <v>8</v>
      </c>
      <c r="E129" s="3">
        <v>25</v>
      </c>
      <c r="F129" s="3" t="str">
        <f>HYPERLINK("https://www.boe.es/gazeta/dias/1817/10/18/pdfs/GMD-1817-125.pdf","Abrir PDF")</f>
        <v>Abrir PDF</v>
      </c>
    </row>
    <row r="130" spans="1:6" ht="31.05" customHeight="1">
      <c r="A130" s="6">
        <v>-30020</v>
      </c>
      <c r="B130" s="2" t="s">
        <v>291</v>
      </c>
      <c r="C130" s="2" t="s">
        <v>9934</v>
      </c>
      <c r="D130" s="3">
        <v>8</v>
      </c>
      <c r="E130" s="3">
        <v>15</v>
      </c>
      <c r="F130" s="3" t="str">
        <f>HYPERLINK("https://www.boe.es/gazeta/dias/1817/10/21/pdfs/GMD-1817-126.pdf","Abrir PDF")</f>
        <v>Abrir PDF</v>
      </c>
    </row>
    <row r="131" spans="1:6" ht="31.05" customHeight="1">
      <c r="A131" s="6">
        <v>-30018</v>
      </c>
      <c r="B131" s="2" t="s">
        <v>757</v>
      </c>
      <c r="C131" s="2" t="s">
        <v>9935</v>
      </c>
      <c r="D131" s="3">
        <v>8</v>
      </c>
      <c r="E131" s="3">
        <v>17</v>
      </c>
      <c r="F131" s="3" t="str">
        <f>HYPERLINK("https://www.boe.es/gazeta/dias/1817/10/23/pdfs/GMD-1817-127.pdf","Abrir PDF")</f>
        <v>Abrir PDF</v>
      </c>
    </row>
    <row r="132" spans="1:6" ht="31.05" customHeight="1">
      <c r="A132" s="6">
        <v>-30016</v>
      </c>
      <c r="B132" s="2" t="s">
        <v>2582</v>
      </c>
      <c r="C132" s="2" t="s">
        <v>9936</v>
      </c>
      <c r="D132" s="3">
        <v>8</v>
      </c>
      <c r="E132" s="3">
        <v>17</v>
      </c>
      <c r="F132" s="3" t="str">
        <f>HYPERLINK("https://www.boe.es/gazeta/dias/1817/10/25/pdfs/GMD-1817-128.pdf","Abrir PDF")</f>
        <v>Abrir PDF</v>
      </c>
    </row>
    <row r="133" spans="1:6" ht="31.05" customHeight="1">
      <c r="A133" s="6">
        <v>-30013</v>
      </c>
      <c r="B133" s="2" t="s">
        <v>464</v>
      </c>
      <c r="C133" s="2" t="s">
        <v>9937</v>
      </c>
      <c r="D133" s="3">
        <v>8</v>
      </c>
      <c r="E133" s="3">
        <v>66</v>
      </c>
      <c r="F133" s="3" t="str">
        <f>HYPERLINK("https://www.boe.es/gazeta/dias/1817/10/28/pdfs/GMD-1817-129.pdf","Abrir PDF")</f>
        <v>Abrir PDF</v>
      </c>
    </row>
    <row r="134" spans="1:6" ht="31.05" customHeight="1">
      <c r="A134" s="6">
        <v>-30011</v>
      </c>
      <c r="B134" s="2" t="s">
        <v>313</v>
      </c>
      <c r="C134" s="2" t="s">
        <v>9938</v>
      </c>
      <c r="D134" s="3">
        <v>12</v>
      </c>
      <c r="E134" s="3">
        <v>65</v>
      </c>
      <c r="F134" s="3" t="str">
        <f>HYPERLINK("https://www.boe.es/gazeta/dias/1817/10/30/pdfs/GMD-1817-130.pdf","Abrir PDF")</f>
        <v>Abrir PDF</v>
      </c>
    </row>
    <row r="135" spans="1:6" ht="31.05" customHeight="1">
      <c r="A135" s="6">
        <v>-30009</v>
      </c>
      <c r="B135" s="2" t="s">
        <v>512</v>
      </c>
      <c r="C135" s="2" t="s">
        <v>9939</v>
      </c>
      <c r="D135" s="3">
        <v>8</v>
      </c>
      <c r="E135" s="3">
        <v>22</v>
      </c>
      <c r="F135" s="3" t="str">
        <f>HYPERLINK("https://www.boe.es/gazeta/dias/1817/11/01/pdfs/GMD-1817-131.pdf","Abrir PDF")</f>
        <v>Abrir PDF</v>
      </c>
    </row>
    <row r="136" spans="1:6" ht="31.05" customHeight="1">
      <c r="A136" s="6">
        <v>-30006</v>
      </c>
      <c r="B136" s="2" t="s">
        <v>210</v>
      </c>
      <c r="C136" s="2" t="s">
        <v>9940</v>
      </c>
      <c r="D136" s="3">
        <v>8</v>
      </c>
      <c r="E136" s="3">
        <v>32</v>
      </c>
      <c r="F136" s="3" t="str">
        <f>HYPERLINK("https://www.boe.es/gazeta/dias/1817/11/04/pdfs/GMD-1817-132.pdf","Abrir PDF")</f>
        <v>Abrir PDF</v>
      </c>
    </row>
    <row r="137" spans="1:6" ht="31.05" customHeight="1">
      <c r="A137" s="6">
        <v>-30004</v>
      </c>
      <c r="B137" s="2" t="s">
        <v>329</v>
      </c>
      <c r="C137" s="2" t="s">
        <v>9941</v>
      </c>
      <c r="D137" s="3">
        <v>8</v>
      </c>
      <c r="E137" s="3">
        <v>29</v>
      </c>
      <c r="F137" s="3" t="str">
        <f>HYPERLINK("https://www.boe.es/gazeta/dias/1817/11/06/pdfs/GMD-1817-133.pdf","Abrir PDF")</f>
        <v>Abrir PDF</v>
      </c>
    </row>
    <row r="138" spans="1:6" ht="31.05" customHeight="1">
      <c r="A138" s="6">
        <v>-30002</v>
      </c>
      <c r="B138" s="2" t="s">
        <v>469</v>
      </c>
      <c r="C138" s="2" t="s">
        <v>9942</v>
      </c>
      <c r="D138" s="3">
        <v>8</v>
      </c>
      <c r="E138" s="3">
        <v>22</v>
      </c>
      <c r="F138" s="3" t="str">
        <f>HYPERLINK("https://www.boe.es/gazeta/dias/1817/11/08/pdfs/GMD-1817-134.pdf","Abrir PDF")</f>
        <v>Abrir PDF</v>
      </c>
    </row>
    <row r="139" spans="1:6" ht="31.05" customHeight="1">
      <c r="A139" s="6">
        <v>-29999</v>
      </c>
      <c r="B139" s="2" t="s">
        <v>471</v>
      </c>
      <c r="C139" s="2" t="s">
        <v>9943</v>
      </c>
      <c r="D139" s="3">
        <v>16</v>
      </c>
      <c r="E139" s="3">
        <v>21</v>
      </c>
      <c r="F139" s="3" t="str">
        <f>HYPERLINK("https://www.boe.es/gazeta/dias/1817/11/11/pdfs/GMD-1817-135.pdf","Abrir PDF")</f>
        <v>Abrir PDF</v>
      </c>
    </row>
    <row r="140" spans="1:6" ht="31.05" customHeight="1">
      <c r="A140" s="6">
        <v>-29997</v>
      </c>
      <c r="B140" s="2" t="s">
        <v>652</v>
      </c>
      <c r="C140" s="2" t="s">
        <v>9944</v>
      </c>
      <c r="D140" s="3">
        <v>12</v>
      </c>
      <c r="E140" s="3">
        <v>23</v>
      </c>
      <c r="F140" s="3" t="str">
        <f>HYPERLINK("https://www.boe.es/gazeta/dias/1817/11/13/pdfs/GMD-1817-136.pdf","Abrir PDF")</f>
        <v>Abrir PDF</v>
      </c>
    </row>
    <row r="141" spans="1:6" ht="31.05" customHeight="1">
      <c r="A141" s="6">
        <v>-29995</v>
      </c>
      <c r="B141" s="2" t="s">
        <v>514</v>
      </c>
      <c r="C141" s="2" t="s">
        <v>9945</v>
      </c>
      <c r="D141" s="3">
        <v>8</v>
      </c>
      <c r="E141" s="3">
        <v>29</v>
      </c>
      <c r="F141" s="3" t="str">
        <f>HYPERLINK("https://www.boe.es/gazeta/dias/1817/11/15/pdfs/GMD-1817-137.pdf","Abrir PDF")</f>
        <v>Abrir PDF</v>
      </c>
    </row>
    <row r="142" spans="1:6" ht="31.05" customHeight="1">
      <c r="A142" s="6">
        <v>-29992</v>
      </c>
      <c r="B142" s="2" t="s">
        <v>50</v>
      </c>
      <c r="C142" s="2" t="s">
        <v>9946</v>
      </c>
      <c r="D142" s="3">
        <v>8</v>
      </c>
      <c r="E142" s="3">
        <v>29</v>
      </c>
      <c r="F142" s="3" t="str">
        <f>HYPERLINK("https://www.boe.es/gazeta/dias/1817/11/18/pdfs/GMD-1817-138.pdf","Abrir PDF")</f>
        <v>Abrir PDF</v>
      </c>
    </row>
    <row r="143" spans="1:6" ht="31.05" customHeight="1">
      <c r="A143" s="6">
        <v>-29990</v>
      </c>
      <c r="B143" s="2" t="s">
        <v>542</v>
      </c>
      <c r="C143" s="2" t="s">
        <v>9947</v>
      </c>
      <c r="D143" s="3">
        <v>8</v>
      </c>
      <c r="E143" s="3">
        <v>39</v>
      </c>
      <c r="F143" s="3" t="str">
        <f>HYPERLINK("https://www.boe.es/gazeta/dias/1817/11/20/pdfs/GMD-1817-139.pdf","Abrir PDF")</f>
        <v>Abrir PDF</v>
      </c>
    </row>
    <row r="144" spans="1:6" ht="31.05" customHeight="1">
      <c r="A144" s="6">
        <v>-29988</v>
      </c>
      <c r="B144" s="2" t="s">
        <v>569</v>
      </c>
      <c r="C144" s="2" t="s">
        <v>9948</v>
      </c>
      <c r="D144" s="3">
        <v>12</v>
      </c>
      <c r="E144" s="3">
        <v>49</v>
      </c>
      <c r="F144" s="3" t="str">
        <f>HYPERLINK("https://www.boe.es/gazeta/dias/1817/11/22/pdfs/GMD-1817-140.pdf","Abrir PDF")</f>
        <v>Abrir PDF</v>
      </c>
    </row>
    <row r="145" spans="1:6" ht="31.05" customHeight="1">
      <c r="A145" s="6">
        <v>-29985</v>
      </c>
      <c r="B145" s="2" t="s">
        <v>76</v>
      </c>
      <c r="C145" s="2" t="s">
        <v>9949</v>
      </c>
      <c r="D145" s="3">
        <v>12</v>
      </c>
      <c r="E145" s="3">
        <v>57</v>
      </c>
      <c r="F145" s="3" t="str">
        <f>HYPERLINK("https://www.boe.es/gazeta/dias/1817/11/25/pdfs/GMD-1817-141.pdf","Abrir PDF")</f>
        <v>Abrir PDF</v>
      </c>
    </row>
    <row r="146" spans="1:6" ht="31.05" customHeight="1">
      <c r="A146" s="6">
        <v>-29983</v>
      </c>
      <c r="B146" s="2" t="s">
        <v>148</v>
      </c>
      <c r="C146" s="2" t="s">
        <v>9950</v>
      </c>
      <c r="D146" s="3">
        <v>8</v>
      </c>
      <c r="E146" s="3">
        <v>45</v>
      </c>
      <c r="F146" s="3" t="str">
        <f>HYPERLINK("https://www.boe.es/gazeta/dias/1817/11/27/pdfs/GMD-1817-142.pdf","Abrir PDF")</f>
        <v>Abrir PDF</v>
      </c>
    </row>
    <row r="147" spans="1:6" ht="31.05" customHeight="1">
      <c r="A147" s="6">
        <v>-29981</v>
      </c>
      <c r="B147" s="2" t="s">
        <v>111</v>
      </c>
      <c r="C147" s="2" t="s">
        <v>9951</v>
      </c>
      <c r="D147" s="3">
        <v>12</v>
      </c>
      <c r="E147" s="3">
        <v>53</v>
      </c>
      <c r="F147" s="3" t="str">
        <f>HYPERLINK("https://www.boe.es/gazeta/dias/1817/11/29/pdfs/GMD-1817-143.pdf","Abrir PDF")</f>
        <v>Abrir PDF</v>
      </c>
    </row>
    <row r="148" spans="1:6" ht="31.05" customHeight="1">
      <c r="A148" s="6">
        <v>-29978</v>
      </c>
      <c r="B148" s="2" t="s">
        <v>478</v>
      </c>
      <c r="C148" s="2" t="s">
        <v>9952</v>
      </c>
      <c r="D148" s="3">
        <v>12</v>
      </c>
      <c r="E148" s="3">
        <v>29</v>
      </c>
      <c r="F148" s="3" t="str">
        <f>HYPERLINK("https://www.boe.es/gazeta/dias/1817/12/02/pdfs/GMD-1817-144.pdf","Abrir PDF")</f>
        <v>Abrir PDF</v>
      </c>
    </row>
    <row r="149" spans="1:6" ht="31.05" customHeight="1">
      <c r="A149" s="6">
        <v>-29976</v>
      </c>
      <c r="B149" s="2" t="s">
        <v>81</v>
      </c>
      <c r="C149" s="2" t="s">
        <v>9953</v>
      </c>
      <c r="D149" s="3">
        <v>12</v>
      </c>
      <c r="E149" s="3">
        <v>43</v>
      </c>
      <c r="F149" s="3" t="str">
        <f>HYPERLINK("https://www.boe.es/gazeta/dias/1817/12/04/pdfs/GMD-1817-145.pdf","Abrir PDF")</f>
        <v>Abrir PDF</v>
      </c>
    </row>
    <row r="150" spans="1:6" ht="31.05" customHeight="1">
      <c r="A150" s="6">
        <v>-29974</v>
      </c>
      <c r="B150" s="2" t="s">
        <v>32</v>
      </c>
      <c r="C150" s="2" t="s">
        <v>9954</v>
      </c>
      <c r="D150" s="3">
        <v>8</v>
      </c>
      <c r="E150" s="3">
        <v>27</v>
      </c>
      <c r="F150" s="3" t="str">
        <f>HYPERLINK("https://www.boe.es/gazeta/dias/1817/12/06/pdfs/GMD-1817-146.pdf","Abrir PDF")</f>
        <v>Abrir PDF</v>
      </c>
    </row>
    <row r="151" spans="1:6" ht="31.05" customHeight="1">
      <c r="A151" s="6">
        <v>-29971</v>
      </c>
      <c r="B151" s="2" t="s">
        <v>517</v>
      </c>
      <c r="C151" s="2" t="s">
        <v>9955</v>
      </c>
      <c r="D151" s="3">
        <v>12</v>
      </c>
      <c r="E151" s="3">
        <v>12</v>
      </c>
      <c r="F151" s="3" t="str">
        <f>HYPERLINK("https://www.boe.es/gazeta/dias/1817/12/09/pdfs/GMD-1817-147.pdf","Abrir PDF")</f>
        <v>Abrir PDF</v>
      </c>
    </row>
    <row r="152" spans="1:6" ht="31.05" customHeight="1">
      <c r="A152" s="6">
        <v>-29969</v>
      </c>
      <c r="B152" s="2" t="s">
        <v>252</v>
      </c>
      <c r="C152" s="2" t="s">
        <v>9956</v>
      </c>
      <c r="D152" s="3">
        <v>12</v>
      </c>
      <c r="E152" s="3">
        <v>27</v>
      </c>
      <c r="F152" s="3" t="str">
        <f>HYPERLINK("https://www.boe.es/gazeta/dias/1817/12/11/pdfs/GMD-1817-148.pdf","Abrir PDF")</f>
        <v>Abrir PDF</v>
      </c>
    </row>
    <row r="153" spans="1:6" ht="31.05" customHeight="1">
      <c r="A153" s="6">
        <v>-29967</v>
      </c>
      <c r="B153" s="2" t="s">
        <v>183</v>
      </c>
      <c r="C153" s="2" t="s">
        <v>9957</v>
      </c>
      <c r="D153" s="3">
        <v>8</v>
      </c>
      <c r="E153" s="3">
        <v>24</v>
      </c>
      <c r="F153" s="3" t="str">
        <f>HYPERLINK("https://www.boe.es/gazeta/dias/1817/12/13/pdfs/GMD-1817-149.pdf","Abrir PDF")</f>
        <v>Abrir PDF</v>
      </c>
    </row>
    <row r="154" spans="1:6" ht="31.05" customHeight="1">
      <c r="A154" s="6">
        <v>-29964</v>
      </c>
      <c r="B154" s="2" t="s">
        <v>482</v>
      </c>
      <c r="C154" s="2" t="s">
        <v>9958</v>
      </c>
      <c r="D154" s="3">
        <v>12</v>
      </c>
      <c r="E154" s="3">
        <v>33</v>
      </c>
      <c r="F154" s="3" t="str">
        <f>HYPERLINK("https://www.boe.es/gazeta/dias/1817/12/16/pdfs/GMD-1817-150.pdf","Abrir PDF")</f>
        <v>Abrir PDF</v>
      </c>
    </row>
    <row r="155" spans="1:6" ht="31.05" customHeight="1">
      <c r="A155" s="6">
        <v>-29962</v>
      </c>
      <c r="B155" s="2" t="s">
        <v>485</v>
      </c>
      <c r="C155" s="2" t="s">
        <v>9959</v>
      </c>
      <c r="D155" s="3">
        <v>8</v>
      </c>
      <c r="E155" s="3">
        <v>22</v>
      </c>
      <c r="F155" s="3" t="str">
        <f>HYPERLINK("https://www.boe.es/gazeta/dias/1817/12/18/pdfs/GMD-1817-151.pdf","Abrir PDF")</f>
        <v>Abrir PDF</v>
      </c>
    </row>
    <row r="156" spans="1:6" ht="31.05" customHeight="1">
      <c r="A156" s="6">
        <v>-29960</v>
      </c>
      <c r="B156" s="2" t="s">
        <v>657</v>
      </c>
      <c r="C156" s="2" t="s">
        <v>9960</v>
      </c>
      <c r="D156" s="3">
        <v>12</v>
      </c>
      <c r="E156" s="3">
        <v>26</v>
      </c>
      <c r="F156" s="3" t="str">
        <f>HYPERLINK("https://www.boe.es/gazeta/dias/1817/12/20/pdfs/GMD-1817-152.pdf","Abrir PDF")</f>
        <v>Abrir PDF</v>
      </c>
    </row>
    <row r="157" spans="1:6" ht="31.05" customHeight="1">
      <c r="A157" s="6">
        <v>-29957</v>
      </c>
      <c r="B157" s="2" t="s">
        <v>1001</v>
      </c>
      <c r="C157" s="2" t="s">
        <v>9961</v>
      </c>
      <c r="D157" s="3">
        <v>8</v>
      </c>
      <c r="E157" s="3">
        <v>24</v>
      </c>
      <c r="F157" s="3" t="str">
        <f>HYPERLINK("https://www.boe.es/gazeta/dias/1817/12/23/pdfs/GMD-1817-153.pdf","Abrir PDF")</f>
        <v>Abrir PDF</v>
      </c>
    </row>
    <row r="158" spans="1:6" ht="31.05" customHeight="1">
      <c r="A158" s="6">
        <v>-29955</v>
      </c>
      <c r="B158" s="2" t="s">
        <v>805</v>
      </c>
      <c r="C158" s="2" t="s">
        <v>9962</v>
      </c>
      <c r="D158" s="3">
        <v>8</v>
      </c>
      <c r="E158" s="3">
        <v>13</v>
      </c>
      <c r="F158" s="3" t="str">
        <f>HYPERLINK("https://www.boe.es/gazeta/dias/1817/12/25/pdfs/GMD-1817-154.pdf","Abrir PDF")</f>
        <v>Abrir PDF</v>
      </c>
    </row>
    <row r="159" spans="1:6" ht="31.05" customHeight="1">
      <c r="A159" s="6">
        <v>-29953</v>
      </c>
      <c r="B159" s="2" t="s">
        <v>793</v>
      </c>
      <c r="C159" s="2" t="s">
        <v>9963</v>
      </c>
      <c r="D159" s="3">
        <v>8</v>
      </c>
      <c r="E159" s="3">
        <v>28</v>
      </c>
      <c r="F159" s="3" t="str">
        <f>HYPERLINK("https://www.boe.es/gazeta/dias/1817/12/27/pdfs/GMD-1817-155.pdf","Abrir PDF")</f>
        <v>Abrir PDF</v>
      </c>
    </row>
    <row r="160" spans="1:6" ht="31.05" customHeight="1">
      <c r="A160" s="6">
        <v>-29950</v>
      </c>
      <c r="B160" s="2" t="s">
        <v>185</v>
      </c>
      <c r="C160" s="2" t="s">
        <v>9964</v>
      </c>
      <c r="D160" s="3">
        <v>8</v>
      </c>
      <c r="E160" s="3">
        <v>27</v>
      </c>
      <c r="F160" s="3" t="str">
        <f>HYPERLINK("https://www.boe.es/gazeta/dias/1817/12/30/pdfs/GMD-1817-156.pdf","Abrir PDF")</f>
        <v>Abrir PDF</v>
      </c>
    </row>
    <row r="161" spans="1:6" ht="31.05" customHeight="1">
      <c r="A161" s="4"/>
      <c r="B161" s="2"/>
      <c r="C161" s="2"/>
      <c r="D161" s="3"/>
      <c r="E161" s="3"/>
      <c r="F161" s="3"/>
    </row>
    <row r="162" spans="1:6" ht="31.05" customHeight="1">
      <c r="A162" s="4"/>
      <c r="B162" s="2"/>
      <c r="C162" s="2"/>
      <c r="D162" s="3"/>
      <c r="E162" s="3"/>
      <c r="F162" s="3"/>
    </row>
    <row r="163" spans="1:6" ht="24" customHeight="1">
      <c r="A163" s="13" t="s">
        <v>9965</v>
      </c>
      <c r="B163" s="14"/>
      <c r="C163" s="14"/>
      <c r="D163" s="15"/>
      <c r="E163" s="15"/>
      <c r="F163" s="16"/>
    </row>
    <row r="164" spans="1:6" ht="42" customHeight="1">
      <c r="A164" s="7" t="s">
        <v>9966</v>
      </c>
      <c r="B164" s="17" t="s">
        <v>9967</v>
      </c>
      <c r="C164" s="17"/>
      <c r="D164" s="18"/>
      <c r="E164" s="18"/>
      <c r="F164" s="18"/>
    </row>
    <row r="165" spans="1:6" ht="42" customHeight="1">
      <c r="A165" s="7" t="s">
        <v>9968</v>
      </c>
      <c r="B165" s="17" t="s">
        <v>9969</v>
      </c>
      <c r="C165" s="17"/>
      <c r="D165" s="18"/>
      <c r="E165" s="18"/>
      <c r="F165" s="18"/>
    </row>
    <row r="166" spans="1:6" ht="42" customHeight="1">
      <c r="A166" s="7" t="s">
        <v>9970</v>
      </c>
      <c r="B166" s="17" t="s">
        <v>9971</v>
      </c>
      <c r="C166" s="17"/>
      <c r="D166" s="18"/>
      <c r="E166" s="18"/>
      <c r="F166" s="18"/>
    </row>
    <row r="167" spans="1:6" ht="42" customHeight="1">
      <c r="A167" s="7" t="s">
        <v>9972</v>
      </c>
      <c r="B167" s="17" t="s">
        <v>9973</v>
      </c>
      <c r="C167" s="17"/>
      <c r="D167" s="18"/>
      <c r="E167" s="18"/>
      <c r="F167" s="18"/>
    </row>
    <row r="168" spans="1:6" ht="42" customHeight="1">
      <c r="A168" s="7" t="s">
        <v>9974</v>
      </c>
      <c r="B168" s="17" t="s">
        <v>9975</v>
      </c>
      <c r="C168" s="17"/>
      <c r="D168" s="18"/>
      <c r="E168" s="18"/>
      <c r="F168" s="18"/>
    </row>
    <row r="169" spans="1:6" ht="42" customHeight="1">
      <c r="A169" s="7" t="s">
        <v>10</v>
      </c>
      <c r="B169" s="17" t="s">
        <v>9976</v>
      </c>
      <c r="C169" s="17"/>
      <c r="D169" s="18"/>
      <c r="E169" s="18"/>
      <c r="F169" s="18"/>
    </row>
    <row r="170" spans="1:6" ht="42" customHeight="1">
      <c r="A170" s="7" t="s">
        <v>9977</v>
      </c>
      <c r="B170" s="17" t="s">
        <v>9978</v>
      </c>
      <c r="C170" s="17"/>
      <c r="D170" s="18"/>
      <c r="E170" s="18"/>
      <c r="F170" s="18"/>
    </row>
    <row r="171" spans="1:6" ht="42" customHeight="1">
      <c r="A171" s="7" t="s">
        <v>9979</v>
      </c>
      <c r="B171" s="17" t="s">
        <v>9980</v>
      </c>
      <c r="C171" s="17"/>
      <c r="D171" s="18"/>
      <c r="E171" s="18"/>
      <c r="F171" s="18"/>
    </row>
    <row r="172" spans="1:6" ht="42" customHeight="1">
      <c r="A172" s="7" t="s">
        <v>9981</v>
      </c>
      <c r="B172" s="17" t="s">
        <v>9982</v>
      </c>
      <c r="C172" s="17"/>
      <c r="D172" s="18"/>
      <c r="E172" s="18"/>
      <c r="F172" s="18"/>
    </row>
    <row r="173" spans="1:6" ht="31.05" customHeight="1"/>
    <row r="174" spans="1:6" ht="31.05" customHeight="1"/>
    <row r="175" spans="1:6" ht="31.05" customHeight="1"/>
    <row r="176" spans="1:6" ht="31.05" customHeight="1"/>
    <row r="177" ht="31.05" customHeight="1"/>
    <row r="178" ht="31.05" customHeight="1"/>
    <row r="179" ht="31.05" customHeight="1"/>
    <row r="180" ht="31.05" customHeight="1"/>
    <row r="181" ht="31.05" customHeight="1"/>
    <row r="182" ht="31.05" customHeight="1"/>
    <row r="183" ht="31.05" customHeight="1"/>
    <row r="184" ht="31.05" customHeight="1"/>
    <row r="185" ht="31.05" customHeight="1"/>
    <row r="186" ht="31.05" customHeight="1"/>
    <row r="187" ht="31.05" customHeight="1"/>
    <row r="188" ht="31.05" customHeight="1"/>
    <row r="189" ht="31.05" customHeight="1"/>
    <row r="190" ht="31.05" customHeight="1"/>
    <row r="191" ht="31.05" customHeight="1"/>
    <row r="192"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1:F171"/>
    <mergeCell ref="B172:F172"/>
    <mergeCell ref="B166:F166"/>
    <mergeCell ref="B167:F167"/>
    <mergeCell ref="B168:F168"/>
    <mergeCell ref="B169:F169"/>
    <mergeCell ref="B170:F170"/>
    <mergeCell ref="A1:F1"/>
    <mergeCell ref="A2:F2"/>
    <mergeCell ref="A163:F163"/>
    <mergeCell ref="B164:F164"/>
    <mergeCell ref="B165:F165"/>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2026-09-28T17:47:53Z</dcterms:created>
  <dcterms:modified xsi:type="dcterms:W3CDTF">2026-09-28T17:47:53Z</dcterms:modified>
</cp:coreProperties>
</file>